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dfile\branchfolders\295\095\Common\Leasing business\05 Kalkulačky aktuálne\"/>
    </mc:Choice>
  </mc:AlternateContent>
  <xr:revisionPtr revIDLastSave="0" documentId="13_ncr:1_{8769057F-ED26-4F4E-B3FE-5479A50C3D69}" xr6:coauthVersionLast="47" xr6:coauthVersionMax="47" xr10:uidLastSave="{00000000-0000-0000-0000-000000000000}"/>
  <bookViews>
    <workbookView xWindow="28680" yWindow="-120" windowWidth="29040" windowHeight="15840" tabRatio="725" activeTab="2" xr2:uid="{00000000-000D-0000-FFFF-FFFF00000000}"/>
  </bookViews>
  <sheets>
    <sheet name="VÝSTUP pre klienta" sheetId="14" r:id="rId1"/>
    <sheet name="  " sheetId="12" r:id="rId2"/>
    <sheet name="TU zadajte VSTUPNÉ ÚDAJE" sheetId="11" r:id="rId3"/>
  </sheets>
  <definedNames>
    <definedName name="_xlnm.Print_Area" localSheetId="2">'TU zadajte VSTUPNÉ ÚDAJE'!$A$1</definedName>
    <definedName name="_xlnm.Print_Area" localSheetId="0">'VÝSTUP pre klienta'!$A$1:$W$49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4" l="1"/>
  <c r="AC12" i="11"/>
  <c r="AD6" i="11"/>
  <c r="AG12" i="11" l="1"/>
  <c r="AF12" i="11"/>
  <c r="AE12" i="11"/>
  <c r="AD12" i="11"/>
  <c r="AG11" i="11"/>
  <c r="AF11" i="11"/>
  <c r="AE11" i="11"/>
  <c r="AD11" i="11"/>
  <c r="AC11" i="11"/>
  <c r="AG10" i="11"/>
  <c r="AF10" i="11"/>
  <c r="AE10" i="11"/>
  <c r="AD10" i="11"/>
  <c r="AC10" i="11"/>
  <c r="AG9" i="11"/>
  <c r="AF9" i="11"/>
  <c r="AE9" i="11"/>
  <c r="AD9" i="11"/>
  <c r="AC9" i="11"/>
  <c r="AG8" i="11"/>
  <c r="AF8" i="11"/>
  <c r="AE8" i="11"/>
  <c r="AD8" i="11"/>
  <c r="AC8" i="11"/>
  <c r="AG7" i="11"/>
  <c r="AF7" i="11"/>
  <c r="AE7" i="11"/>
  <c r="AD7" i="11"/>
  <c r="AC7" i="11"/>
  <c r="AG6" i="11"/>
  <c r="AF6" i="11"/>
  <c r="AE6" i="11"/>
  <c r="AC6" i="11"/>
  <c r="AG5" i="11"/>
  <c r="AF5" i="11"/>
  <c r="AE5" i="11"/>
  <c r="AD5" i="11"/>
  <c r="AC5" i="11"/>
  <c r="AG3" i="11"/>
  <c r="AF3" i="11"/>
  <c r="AP6" i="11"/>
  <c r="AP7" i="11" s="1"/>
  <c r="AP8" i="11" s="1"/>
  <c r="AP9" i="11" s="1"/>
  <c r="AP10" i="11" s="1"/>
  <c r="AP11" i="11" s="1"/>
  <c r="AP12" i="11" s="1"/>
  <c r="O11" i="14" l="1"/>
  <c r="AH24" i="11" l="1"/>
  <c r="AH23" i="11"/>
  <c r="AH22" i="11"/>
  <c r="AH21" i="11"/>
  <c r="AH20" i="11"/>
  <c r="AH19" i="11"/>
  <c r="AH18" i="11"/>
  <c r="AH17" i="11"/>
  <c r="B3" i="11" l="1"/>
  <c r="B2" i="11"/>
  <c r="AH6" i="11" l="1"/>
  <c r="AH7" i="11"/>
  <c r="AH8" i="11"/>
  <c r="AH9" i="11"/>
  <c r="AH10" i="11"/>
  <c r="AH11" i="11"/>
  <c r="AH12" i="11"/>
  <c r="AH5" i="11"/>
  <c r="AO12" i="11" l="1"/>
  <c r="U28" i="14" s="1"/>
  <c r="V15" i="14"/>
  <c r="T37" i="14" l="1"/>
  <c r="T36" i="14"/>
  <c r="T35" i="14"/>
  <c r="F6" i="11" l="1"/>
  <c r="F11" i="14" s="1"/>
  <c r="V14" i="14" l="1"/>
  <c r="H39" i="14"/>
  <c r="F10" i="14"/>
  <c r="T9" i="14"/>
  <c r="H40" i="14" s="1"/>
  <c r="F9" i="14"/>
  <c r="T8" i="14"/>
  <c r="F8" i="14"/>
  <c r="AO6" i="11" l="1"/>
  <c r="AO7" i="11"/>
  <c r="AO8" i="11"/>
  <c r="AO9" i="11"/>
  <c r="AO10" i="11"/>
  <c r="AO11" i="11"/>
  <c r="AO5" i="11"/>
  <c r="AE3" i="11"/>
  <c r="AD3" i="11"/>
  <c r="F13" i="11"/>
  <c r="H12" i="11"/>
  <c r="H14" i="14" l="1"/>
  <c r="S10" i="14"/>
  <c r="U10" i="14"/>
  <c r="U21" i="14"/>
  <c r="U26" i="14"/>
  <c r="U24" i="14"/>
  <c r="U22" i="14"/>
  <c r="U27" i="14"/>
  <c r="U25" i="14"/>
  <c r="U23" i="14"/>
  <c r="F14" i="11"/>
  <c r="AM2" i="11" s="1"/>
  <c r="AL12" i="11" l="1"/>
  <c r="AL11" i="11"/>
  <c r="AL10" i="11"/>
  <c r="AL9" i="11"/>
  <c r="AL8" i="11"/>
  <c r="AL7" i="11"/>
  <c r="AL6" i="11"/>
  <c r="AL5" i="11"/>
  <c r="AM6" i="11"/>
  <c r="AM5" i="11"/>
  <c r="AM12" i="11"/>
  <c r="AM11" i="11"/>
  <c r="AM10" i="11"/>
  <c r="AM7" i="11"/>
  <c r="AM8" i="11"/>
  <c r="AM9" i="11"/>
  <c r="G11" i="11"/>
  <c r="H15" i="11"/>
  <c r="AM19" i="11"/>
  <c r="AM18" i="11"/>
  <c r="AM4" i="11" l="1"/>
  <c r="AL4" i="11"/>
  <c r="AI17" i="11"/>
  <c r="AJ17" i="11" s="1"/>
  <c r="AK17" i="11" s="1"/>
  <c r="AI20" i="11"/>
  <c r="AJ20" i="11" s="1"/>
  <c r="AK20" i="11" s="1"/>
  <c r="AI24" i="11"/>
  <c r="AJ24" i="11" s="1"/>
  <c r="AK24" i="11" s="1"/>
  <c r="AI18" i="11"/>
  <c r="AJ18" i="11" s="1"/>
  <c r="AK18" i="11" s="1"/>
  <c r="AI19" i="11"/>
  <c r="AJ19" i="11" s="1"/>
  <c r="AK19" i="11" s="1"/>
  <c r="AI23" i="11"/>
  <c r="AJ23" i="11" s="1"/>
  <c r="AK23" i="11" s="1"/>
  <c r="AI21" i="11"/>
  <c r="AJ21" i="11" s="1"/>
  <c r="AK21" i="11" s="1"/>
  <c r="AI22" i="11"/>
  <c r="AJ22" i="11" s="1"/>
  <c r="AK22" i="11" s="1"/>
  <c r="AK10" i="11" l="1"/>
  <c r="AJ10" i="11" s="1"/>
  <c r="AK8" i="11"/>
  <c r="AJ8" i="11" s="1"/>
  <c r="AK11" i="11"/>
  <c r="AJ11" i="11" s="1"/>
  <c r="AK9" i="11"/>
  <c r="AJ9" i="11" s="1"/>
  <c r="AQ9" i="11" s="1"/>
  <c r="AK7" i="11"/>
  <c r="AJ7" i="11" s="1"/>
  <c r="AK12" i="11"/>
  <c r="AJ12" i="11" s="1"/>
  <c r="AK6" i="11"/>
  <c r="AJ6" i="11" s="1"/>
  <c r="AK5" i="11"/>
  <c r="AJ5" i="11" s="1"/>
  <c r="AI5" i="11" s="1"/>
  <c r="AS9" i="11" l="1"/>
  <c r="AI9" i="11"/>
  <c r="AQ12" i="11"/>
  <c r="AQ8" i="11"/>
  <c r="AQ5" i="11"/>
  <c r="AQ7" i="11"/>
  <c r="AQ6" i="11"/>
  <c r="AQ10" i="11"/>
  <c r="AQ11" i="11"/>
  <c r="AI11" i="11"/>
  <c r="AI7" i="11"/>
  <c r="AI6" i="11"/>
  <c r="AI10" i="11"/>
  <c r="AI12" i="11" l="1"/>
  <c r="AR12" i="11"/>
  <c r="AT12" i="11" s="1"/>
  <c r="AS12" i="11"/>
  <c r="AI8" i="11"/>
  <c r="K24" i="14" s="1"/>
  <c r="AS8" i="11"/>
  <c r="AR8" i="11"/>
  <c r="AT8" i="11" s="1"/>
  <c r="Y24" i="14" s="1"/>
  <c r="K21" i="14"/>
  <c r="AS5" i="11"/>
  <c r="AR5" i="11"/>
  <c r="K22" i="14"/>
  <c r="K23" i="14"/>
  <c r="K27" i="14"/>
  <c r="K25" i="14"/>
  <c r="K26" i="14"/>
  <c r="AR9" i="11"/>
  <c r="AR11" i="11"/>
  <c r="AT11" i="11" s="1"/>
  <c r="AS11" i="11"/>
  <c r="AR10" i="11"/>
  <c r="AS10" i="11"/>
  <c r="AR6" i="11"/>
  <c r="AS6" i="11"/>
  <c r="AR7" i="11"/>
  <c r="AS7" i="11"/>
  <c r="K28" i="14" l="1"/>
  <c r="F28" i="14" s="1"/>
  <c r="Y28" i="14"/>
  <c r="AT5" i="11"/>
  <c r="Y21" i="14" s="1"/>
  <c r="F27" i="14"/>
  <c r="P27" i="14"/>
  <c r="F26" i="14"/>
  <c r="P26" i="14"/>
  <c r="F24" i="14"/>
  <c r="P24" i="14"/>
  <c r="F25" i="14"/>
  <c r="P25" i="14"/>
  <c r="F23" i="14"/>
  <c r="P23" i="14"/>
  <c r="F22" i="14"/>
  <c r="P22" i="14"/>
  <c r="P21" i="14"/>
  <c r="F21" i="14"/>
  <c r="Y27" i="14"/>
  <c r="AT10" i="11"/>
  <c r="Y26" i="14" s="1"/>
  <c r="AT9" i="11"/>
  <c r="Y25" i="14" s="1"/>
  <c r="AT6" i="11"/>
  <c r="Y22" i="14" s="1"/>
  <c r="AT7" i="11"/>
  <c r="Y23" i="14" s="1"/>
  <c r="P28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Hitka, Marian</author>
  </authors>
  <commentList>
    <comment ref="AP5" authorId="0" shapeId="0" xr:uid="{8E0D6D0C-F4A7-477C-A8B4-2903F79BE2EB}">
      <text>
        <r>
          <rPr>
            <b/>
            <sz val="9"/>
            <color indexed="81"/>
            <rFont val="Tahoma"/>
            <family val="2"/>
          </rPr>
          <t>Hitka, Marian:</t>
        </r>
        <r>
          <rPr>
            <sz val="9"/>
            <color indexed="81"/>
            <rFont val="Tahoma"/>
            <family val="2"/>
          </rPr>
          <t xml:space="preserve">
5,83 AVG 2025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<sst xmlns="http://schemas.openxmlformats.org/spreadsheetml/2006/main" count="110" uniqueCount="99">
  <si>
    <t>min</t>
  </si>
  <si>
    <t>max</t>
  </si>
  <si>
    <t>rozsah</t>
  </si>
  <si>
    <t>štvrťrok</t>
  </si>
  <si>
    <t>výška nájmu na</t>
  </si>
  <si>
    <t>mesiac</t>
  </si>
  <si>
    <t>CLASSIC LEASING</t>
  </si>
  <si>
    <t>OC</t>
  </si>
  <si>
    <t>CL</t>
  </si>
  <si>
    <t>doba</t>
  </si>
  <si>
    <t>leasingu</t>
  </si>
  <si>
    <t>(mesiace)</t>
  </si>
  <si>
    <t>Základná</t>
  </si>
  <si>
    <t>MESAČNE</t>
  </si>
  <si>
    <t>Indikatívna
zostatková
hodnota</t>
  </si>
  <si>
    <t>Periodicita platby nájmu</t>
  </si>
  <si>
    <t xml:space="preserve"> Leasingový nájomca:</t>
  </si>
  <si>
    <t xml:space="preserve"> Predmet leasingu:</t>
  </si>
  <si>
    <t xml:space="preserve"> Dodávateľ:</t>
  </si>
  <si>
    <t xml:space="preserve">  Obstarávacia cena:</t>
  </si>
  <si>
    <t>meno a priezvisko</t>
  </si>
  <si>
    <t>podpis</t>
  </si>
  <si>
    <t>Sadzba z OC mesačne</t>
  </si>
  <si>
    <t xml:space="preserve"> IT - stacionárne riziko: destop PC, monitory, MFP, tlačiarne, servery, elektronické pokladne, medicínske zariadenia a pod.</t>
  </si>
  <si>
    <t xml:space="preserve"> Iné - mobilné riziko: notebooky, tablety, mobilné telefóny, mobilné diagnostické zariadenia a pod.</t>
  </si>
  <si>
    <t xml:space="preserve"> Iné - stacionárne riziko: bezpečnostná technika, gastro zariadenia, autoserviná technika, čistiace stroje a pod.</t>
  </si>
  <si>
    <t>Kategória predmetu leasingu</t>
  </si>
  <si>
    <t xml:space="preserve"> Dátum kalkulácie:</t>
  </si>
  <si>
    <t xml:space="preserve">  Leas.nájomca IČO:</t>
  </si>
  <si>
    <t>Poskytovateľ leasingu:  GRENKELEASING s. r. o. , Karadžičova 10, 821 08 Bratislava ● T: 02 / 50 204 704 ● E: sluzby@grenke.sk ● www.grenke.sk</t>
  </si>
  <si>
    <t xml:space="preserve"> Zákazník - názov podľa OR/ŽR:</t>
  </si>
  <si>
    <t>%</t>
  </si>
  <si>
    <t>EUR</t>
  </si>
  <si>
    <r>
      <rPr>
        <sz val="12"/>
        <color theme="0"/>
        <rFont val="Arial Narrow"/>
        <family val="2"/>
        <charset val="238"/>
      </rPr>
      <t xml:space="preserve">Výber vyznačte </t>
    </r>
    <r>
      <rPr>
        <b/>
        <sz val="13"/>
        <color theme="0"/>
        <rFont val="Arial Narrow"/>
        <family val="2"/>
        <charset val="238"/>
      </rPr>
      <t>X</t>
    </r>
  </si>
  <si>
    <t>Na predĺženie leasingovej zmluvy nie je potrebná žiadna akcia.</t>
  </si>
  <si>
    <t>Tento podklad nenahrádza ustanovenia leasingovej zmluvy. Začiatok a koniec doby leasingu nájdete priamo v leasingovej zmluve.</t>
  </si>
  <si>
    <r>
      <t xml:space="preserve">Žiadam o schválenie žiadosti o leasing
podľa výberu doby leasingu a periodicity platby </t>
    </r>
    <r>
      <rPr>
        <b/>
        <u/>
        <sz val="9"/>
        <color theme="0"/>
        <rFont val="Arial"/>
        <family val="2"/>
        <charset val="238"/>
      </rPr>
      <t>vyznačených vyššie</t>
    </r>
  </si>
  <si>
    <t>Jednorazový poplatok za spracovanie leasingovej zmluvy:</t>
  </si>
  <si>
    <r>
      <t xml:space="preserve">ŠTVRŤROČNE </t>
    </r>
    <r>
      <rPr>
        <sz val="11"/>
        <color theme="0"/>
        <rFont val="Arial"/>
        <family val="2"/>
        <charset val="238"/>
      </rPr>
      <t>(zvýhodnená)</t>
    </r>
  </si>
  <si>
    <t>IZH</t>
  </si>
  <si>
    <t>(k nájmu; min. 6,10 €)</t>
  </si>
  <si>
    <t>PLATNOSŤ kalkulácie je do:</t>
  </si>
  <si>
    <r>
      <t xml:space="preserve"> Zákazník - IČO</t>
    </r>
    <r>
      <rPr>
        <sz val="8"/>
        <color theme="1"/>
        <rFont val="Calibri"/>
        <family val="2"/>
        <scheme val="minor"/>
      </rPr>
      <t>:</t>
    </r>
  </si>
  <si>
    <t>mes.nájom</t>
  </si>
  <si>
    <t>Q platba</t>
  </si>
  <si>
    <t>vr.prov.</t>
  </si>
  <si>
    <t>min.</t>
  </si>
  <si>
    <t>max.</t>
  </si>
  <si>
    <t>check</t>
  </si>
  <si>
    <t>prípl. za M platbu:</t>
  </si>
  <si>
    <t xml:space="preserve"> (posledný deň platnosti)</t>
  </si>
  <si>
    <t>REFI</t>
  </si>
  <si>
    <t>PM1</t>
  </si>
  <si>
    <t>KOEF kalk</t>
  </si>
  <si>
    <t>vr.úpr.+/-</t>
  </si>
  <si>
    <t xml:space="preserve">Hodnota provízie:  </t>
  </si>
  <si>
    <t xml:space="preserve"> limit OC bez akont.</t>
  </si>
  <si>
    <t>PM1%</t>
  </si>
  <si>
    <t>M platba</t>
  </si>
  <si>
    <r>
      <t xml:space="preserve"> Provízia dodávateľa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FF0000"/>
        <rFont val="Calibri"/>
        <family val="2"/>
        <scheme val="minor"/>
      </rPr>
      <t>(navyšuje nájom)</t>
    </r>
    <r>
      <rPr>
        <sz val="10"/>
        <color theme="1"/>
        <rFont val="Calibri"/>
        <family val="2"/>
        <scheme val="minor"/>
      </rPr>
      <t>:</t>
    </r>
  </si>
  <si>
    <r>
      <t xml:space="preserve"> Obstarávacia cena </t>
    </r>
    <r>
      <rPr>
        <b/>
        <u/>
        <sz val="10"/>
        <color rgb="FFFF0000"/>
        <rFont val="Calibri"/>
        <family val="2"/>
        <scheme val="minor"/>
      </rPr>
      <t>bez DPH</t>
    </r>
    <r>
      <rPr>
        <sz val="10"/>
        <color rgb="FFFF0000"/>
        <rFont val="Calibri"/>
        <family val="2"/>
        <scheme val="minor"/>
      </rPr>
      <t>:</t>
    </r>
  </si>
  <si>
    <t>ukáž</t>
  </si>
  <si>
    <t>limit</t>
  </si>
  <si>
    <t>hodnota</t>
  </si>
  <si>
    <t>provízie</t>
  </si>
  <si>
    <t>KOEF</t>
  </si>
  <si>
    <t>z min/max</t>
  </si>
  <si>
    <t>bez zaokrúhl.</t>
  </si>
  <si>
    <t>vypočítaný</t>
  </si>
  <si>
    <t>limit OC-akont. pre dĺžku 72</t>
  </si>
  <si>
    <t>v čase</t>
  </si>
  <si>
    <t>zvýšenie</t>
  </si>
  <si>
    <t>nájmu</t>
  </si>
  <si>
    <t>mesačne</t>
  </si>
  <si>
    <t>o províziu</t>
  </si>
  <si>
    <t>zaokr. 3 des.m.</t>
  </si>
  <si>
    <t>HF</t>
  </si>
  <si>
    <t>X</t>
  </si>
  <si>
    <t>provízia</t>
  </si>
  <si>
    <r>
      <t xml:space="preserve">KOEF základné </t>
    </r>
    <r>
      <rPr>
        <sz val="9"/>
        <color theme="1"/>
        <rFont val="Calibri"/>
        <family val="2"/>
        <scheme val="minor"/>
      </rPr>
      <t>- tu vlož dáta</t>
    </r>
  </si>
  <si>
    <t>fixná hodnota</t>
  </si>
  <si>
    <t>Najneskôr 3 mesiace pred ukončením základnej doby leasingu sa môžete rozhodnúť, či predmet leasingu vrátite alebo požiadate o odkúpenie (po riadnom ukončení LZ).</t>
  </si>
  <si>
    <t>limit OC-akont. pre dĺžku 60</t>
  </si>
  <si>
    <r>
      <t xml:space="preserve"> Podklady potrebné pre posúdenie leasingovej žiadosti </t>
    </r>
    <r>
      <rPr>
        <sz val="7"/>
        <color theme="1" tint="0.34998626667073579"/>
        <rFont val="Arial Narrow"/>
        <family val="2"/>
        <charset val="238"/>
      </rPr>
      <t>(zvyčajne do 24 hodín)</t>
    </r>
  </si>
  <si>
    <r>
      <rPr>
        <b/>
        <u/>
        <sz val="10"/>
        <color theme="1" tint="0.34998626667073579"/>
        <rFont val="Arial Narrow"/>
        <family val="2"/>
        <charset val="238"/>
      </rPr>
      <t>Štandardná forma úhrady leasingových splátok je SEPA inkaso.</t>
    </r>
    <r>
      <rPr>
        <b/>
        <sz val="10"/>
        <color theme="1" tint="0.34998626667073579"/>
        <rFont val="Arial Narrow"/>
        <family val="2"/>
        <charset val="238"/>
      </rPr>
      <t xml:space="preserve">   Všetky hodnoty v kalkulácii sú nezáväzné a informatívne.</t>
    </r>
  </si>
  <si>
    <t xml:space="preserve">  1. zvýšená</t>
  </si>
  <si>
    <t xml:space="preserve">      splátka</t>
  </si>
  <si>
    <r>
      <t xml:space="preserve"> 1. zvýšená splátka</t>
    </r>
    <r>
      <rPr>
        <sz val="10"/>
        <color rgb="FFFF0000"/>
        <rFont val="Calibri"/>
        <family val="2"/>
        <scheme val="minor"/>
      </rPr>
      <t xml:space="preserve"> (štandardne 0%)</t>
    </r>
    <r>
      <rPr>
        <sz val="10"/>
        <color theme="1"/>
        <rFont val="Calibri"/>
        <family val="2"/>
        <scheme val="minor"/>
      </rPr>
      <t>:</t>
    </r>
  </si>
  <si>
    <t xml:space="preserve">  1. zvýšená splátka v EUR:</t>
  </si>
  <si>
    <t xml:space="preserve">  OC po odpočítaní 1. zvýšenej splátky:</t>
  </si>
  <si>
    <t>zadajte predmet(y)</t>
  </si>
  <si>
    <t>zadajte dodávateľa (podľa OR/ŽR)</t>
  </si>
  <si>
    <t>zadajte zákazníka (podľa OR/ŽR)</t>
  </si>
  <si>
    <r>
      <rPr>
        <b/>
        <sz val="8"/>
        <color theme="0"/>
        <rFont val="Arial Narrow"/>
        <family val="2"/>
        <charset val="238"/>
      </rPr>
      <t xml:space="preserve"> </t>
    </r>
    <r>
      <rPr>
        <b/>
        <sz val="20"/>
        <color theme="0"/>
        <rFont val="Arial Narrow"/>
        <family val="2"/>
        <charset val="238"/>
      </rPr>
      <t>Nezáväzná informatívna kalkulácia</t>
    </r>
  </si>
  <si>
    <r>
      <rPr>
        <sz val="6"/>
        <color theme="0"/>
        <rFont val="Arial"/>
        <family val="2"/>
        <charset val="238"/>
      </rPr>
      <t xml:space="preserve"> </t>
    </r>
    <r>
      <rPr>
        <sz val="12"/>
        <color theme="0"/>
        <rFont val="Arial"/>
        <family val="2"/>
        <charset val="238"/>
      </rPr>
      <t xml:space="preserve">Všetky hodnoty uvedené v EUR sú </t>
    </r>
    <r>
      <rPr>
        <b/>
        <u/>
        <sz val="12"/>
        <color theme="0"/>
        <rFont val="Arial"/>
        <family val="2"/>
        <charset val="238"/>
      </rPr>
      <t>bez DPH</t>
    </r>
    <r>
      <rPr>
        <sz val="12"/>
        <color theme="0"/>
        <rFont val="Arial"/>
        <family val="2"/>
        <charset val="238"/>
      </rPr>
      <t>!</t>
    </r>
  </si>
  <si>
    <t>Majiteľom predmetu leasingu je GRENKELEASING, ktorý (mimo prípadov vinkulácie) aktivuje poistnú ochranu spolu s aktiváciou leasingovej zmluvy.</t>
  </si>
  <si>
    <r>
      <rPr>
        <sz val="9"/>
        <color rgb="FFFF0000"/>
        <rFont val="Calibri"/>
        <family val="2"/>
        <scheme val="minor"/>
      </rPr>
      <t xml:space="preserve">Klientom potvrdenú kalkuláciu pošlite na </t>
    </r>
    <r>
      <rPr>
        <b/>
        <sz val="12"/>
        <color rgb="FFFF0000"/>
        <rFont val="Calibri"/>
        <family val="2"/>
        <scheme val="minor"/>
      </rPr>
      <t>sluzby@grenke.sk</t>
    </r>
  </si>
  <si>
    <r>
      <rPr>
        <sz val="9"/>
        <color theme="1"/>
        <rFont val="Calibri"/>
        <family val="2"/>
        <scheme val="minor"/>
      </rPr>
      <t xml:space="preserve">V pracovných dňoch 8:30 - 16:30 je k dispozícii infolinka </t>
    </r>
    <r>
      <rPr>
        <b/>
        <sz val="11"/>
        <color theme="1"/>
        <rFont val="Calibri"/>
        <family val="2"/>
        <scheme val="minor"/>
      </rPr>
      <t>02 / 50 204 704</t>
    </r>
  </si>
  <si>
    <r>
      <t xml:space="preserve">všetky hodnoty v EUR sú </t>
    </r>
    <r>
      <rPr>
        <b/>
        <u/>
        <sz val="10"/>
        <color rgb="FFFF0000"/>
        <rFont val="Calibri"/>
        <family val="2"/>
        <scheme val="minor"/>
      </rPr>
      <t>bez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</si>
</sst>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164" formatCode="_-* #,##0.00\ _€_-;\-* #,##0.00\ _€_-;_-* &quot;-&quot;??\ _€_-;_-@_-"/>
    <numFmt numFmtId="165" formatCode="0.000"/>
    <numFmt numFmtId="166" formatCode="0.0%"/>
    <numFmt numFmtId="167" formatCode="#,##0.00\ &quot;€&quot;"/>
    <numFmt numFmtId="168" formatCode="_-* #,##0.00\ _S_k_-;\-* #,##0.00\ _S_k_-;_-* &quot;-&quot;??\ _S_k_-;_-@_-"/>
    <numFmt numFmtId="169" formatCode="0.000%"/>
    <numFmt numFmtId="170" formatCode="0.00000"/>
    <numFmt numFmtId="171" formatCode="#,##0.000\ &quot;€&quot;"/>
  </numFmts>
  <fonts count="12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0"/>
      <name val="Arial Narrow"/>
      <family val="2"/>
      <charset val="238"/>
    </font>
    <font>
      <sz val="12"/>
      <color theme="0"/>
      <name val="Arial Narrow"/>
      <family val="2"/>
      <charset val="238"/>
    </font>
    <font>
      <b/>
      <sz val="12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0"/>
      <name val="Arial Narrow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b/>
      <sz val="13"/>
      <color theme="0"/>
      <name val="Arial Narrow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 Narrow"/>
      <family val="2"/>
      <charset val="238"/>
    </font>
    <font>
      <b/>
      <sz val="9"/>
      <color theme="0"/>
      <name val="Arial"/>
      <family val="2"/>
      <charset val="238"/>
    </font>
    <font>
      <b/>
      <u/>
      <sz val="9"/>
      <color theme="0"/>
      <name val="Arial"/>
      <family val="2"/>
      <charset val="238"/>
    </font>
    <font>
      <sz val="10"/>
      <color theme="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8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sz val="8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0"/>
      <name val="Arial Narrow"/>
      <family val="2"/>
    </font>
    <font>
      <sz val="8"/>
      <color theme="0"/>
      <name val="Arial"/>
      <family val="2"/>
    </font>
    <font>
      <sz val="12"/>
      <color theme="0"/>
      <name val="Calibri"/>
      <family val="2"/>
      <charset val="238"/>
      <scheme val="minor"/>
    </font>
    <font>
      <sz val="7"/>
      <color theme="1"/>
      <name val="Arial Narrow"/>
      <family val="2"/>
    </font>
    <font>
      <b/>
      <sz val="8"/>
      <color theme="1"/>
      <name val="Calibri"/>
      <family val="2"/>
      <charset val="238"/>
      <scheme val="minor"/>
    </font>
    <font>
      <sz val="8"/>
      <color theme="1"/>
      <name val="Arial Narrow"/>
      <family val="2"/>
    </font>
    <font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8"/>
      <color theme="1" tint="0.499984740745262"/>
      <name val="Arial"/>
      <family val="2"/>
      <charset val="238"/>
    </font>
    <font>
      <b/>
      <sz val="12"/>
      <color theme="1" tint="0.499984740745262"/>
      <name val="Arial Narrow"/>
      <family val="2"/>
    </font>
    <font>
      <sz val="12"/>
      <color theme="1" tint="0.34998626667073579"/>
      <name val="Arial Narrow"/>
      <family val="2"/>
      <charset val="238"/>
    </font>
    <font>
      <sz val="8"/>
      <color theme="1" tint="0.34998626667073579"/>
      <name val="Arial"/>
      <family val="2"/>
      <charset val="238"/>
    </font>
    <font>
      <b/>
      <sz val="8"/>
      <color theme="1" tint="0.34998626667073579"/>
      <name val="Arial"/>
      <family val="2"/>
      <charset val="238"/>
    </font>
    <font>
      <sz val="9"/>
      <color theme="1" tint="0.34998626667073579"/>
      <name val="Arial Narrow"/>
      <family val="2"/>
    </font>
    <font>
      <sz val="8"/>
      <color theme="1" tint="0.34998626667073579"/>
      <name val="Arial Narrow"/>
      <family val="2"/>
      <charset val="238"/>
    </font>
    <font>
      <sz val="9"/>
      <color theme="1" tint="0.34998626667073579"/>
      <name val="Arial Narrow"/>
      <family val="2"/>
      <charset val="238"/>
    </font>
    <font>
      <b/>
      <sz val="9"/>
      <color theme="1" tint="0.34998626667073579"/>
      <name val="Arial Narrow"/>
      <family val="2"/>
      <charset val="238"/>
    </font>
    <font>
      <sz val="7"/>
      <color theme="1" tint="0.34998626667073579"/>
      <name val="Arial Narrow"/>
      <family val="2"/>
      <charset val="238"/>
    </font>
    <font>
      <sz val="12"/>
      <color theme="1" tint="0.34998626667073579"/>
      <name val="Arial"/>
      <family val="2"/>
      <charset val="238"/>
    </font>
    <font>
      <sz val="11"/>
      <color theme="1" tint="0.34998626667073579"/>
      <name val="Arial Narrow"/>
      <family val="2"/>
      <charset val="238"/>
    </font>
    <font>
      <b/>
      <sz val="10"/>
      <color theme="1" tint="0.34998626667073579"/>
      <name val="Arial Narrow"/>
      <family val="2"/>
      <charset val="238"/>
    </font>
    <font>
      <b/>
      <u/>
      <sz val="10"/>
      <color theme="1" tint="0.34998626667073579"/>
      <name val="Arial Narrow"/>
      <family val="2"/>
      <charset val="238"/>
    </font>
    <font>
      <b/>
      <sz val="10"/>
      <color theme="1" tint="0.249977111117893"/>
      <name val="Arial"/>
      <family val="2"/>
      <charset val="238"/>
    </font>
    <font>
      <sz val="10"/>
      <color theme="1" tint="0.249977111117893"/>
      <name val="Arial Narrow"/>
      <family val="2"/>
    </font>
    <font>
      <sz val="9"/>
      <color theme="1" tint="0.249977111117893"/>
      <name val="Arial Narrow"/>
      <family val="2"/>
    </font>
    <font>
      <sz val="8"/>
      <color theme="1" tint="0.249977111117893"/>
      <name val="Arial Narrow"/>
      <family val="2"/>
      <charset val="238"/>
    </font>
    <font>
      <b/>
      <sz val="12"/>
      <color theme="1" tint="0.249977111117893"/>
      <name val="Arial Narrow"/>
      <family val="2"/>
      <charset val="238"/>
    </font>
    <font>
      <sz val="12"/>
      <color theme="1" tint="0.249977111117893"/>
      <name val="Arial Narrow"/>
      <family val="2"/>
      <charset val="238"/>
    </font>
    <font>
      <b/>
      <sz val="12"/>
      <color theme="1" tint="0.249977111117893"/>
      <name val="Arial"/>
      <family val="2"/>
    </font>
    <font>
      <b/>
      <sz val="14"/>
      <color theme="1" tint="0.249977111117893"/>
      <name val="Arial"/>
      <family val="2"/>
      <charset val="238"/>
    </font>
    <font>
      <sz val="9"/>
      <color theme="1" tint="0.249977111117893"/>
      <name val="Arial Narrow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name val="Arial Narrow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0"/>
      <name val="Arial Narrow"/>
      <family val="2"/>
      <charset val="238"/>
    </font>
    <font>
      <b/>
      <sz val="8"/>
      <color theme="0"/>
      <name val="Arial Narrow"/>
      <family val="2"/>
      <charset val="238"/>
    </font>
    <font>
      <sz val="12"/>
      <color theme="0"/>
      <name val="Arial"/>
      <family val="2"/>
      <charset val="238"/>
    </font>
    <font>
      <sz val="10"/>
      <color theme="0"/>
      <name val="Arial Narrow"/>
      <family val="2"/>
      <charset val="238"/>
    </font>
    <font>
      <sz val="6"/>
      <color theme="0"/>
      <name val="Arial"/>
      <family val="2"/>
      <charset val="238"/>
    </font>
    <font>
      <b/>
      <u/>
      <sz val="12"/>
      <color theme="0"/>
      <name val="Arial"/>
      <family val="2"/>
      <charset val="238"/>
    </font>
    <font>
      <sz val="8"/>
      <color rgb="FF0000FF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A3"/>
        <bgColor indexed="64"/>
      </patternFill>
    </fill>
  </fills>
  <borders count="67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theme="0" tint="-0.34998626667073579"/>
      </left>
      <right/>
      <top/>
      <bottom/>
      <diagonal/>
    </border>
    <border>
      <left/>
      <right style="hair">
        <color theme="0" tint="-0.34998626667073579"/>
      </right>
      <top/>
      <bottom/>
      <diagonal/>
    </border>
    <border>
      <left/>
      <right style="hair">
        <color theme="1" tint="0.499984740745262"/>
      </right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hair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3" tint="0.59996337778862885"/>
      </left>
      <right/>
      <top style="medium">
        <color theme="3" tint="0.59996337778862885"/>
      </top>
      <bottom/>
      <diagonal/>
    </border>
    <border>
      <left/>
      <right/>
      <top style="medium">
        <color theme="3" tint="0.59996337778862885"/>
      </top>
      <bottom/>
      <diagonal/>
    </border>
    <border>
      <left/>
      <right style="medium">
        <color theme="0"/>
      </right>
      <top style="medium">
        <color theme="3" tint="0.59996337778862885"/>
      </top>
      <bottom/>
      <diagonal/>
    </border>
    <border>
      <left style="medium">
        <color theme="0"/>
      </left>
      <right/>
      <top style="medium">
        <color theme="3" tint="0.59996337778862885"/>
      </top>
      <bottom/>
      <diagonal/>
    </border>
    <border>
      <left/>
      <right style="medium">
        <color theme="3" tint="0.59996337778862885"/>
      </right>
      <top style="medium">
        <color theme="3" tint="0.59996337778862885"/>
      </top>
      <bottom/>
      <diagonal/>
    </border>
    <border>
      <left style="medium">
        <color theme="3" tint="0.59996337778862885"/>
      </left>
      <right/>
      <top/>
      <bottom/>
      <diagonal/>
    </border>
    <border>
      <left/>
      <right style="medium">
        <color theme="3" tint="0.59996337778862885"/>
      </right>
      <top/>
      <bottom/>
      <diagonal/>
    </border>
    <border>
      <left/>
      <right style="medium">
        <color theme="3" tint="0.59996337778862885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3" tint="0.59996337778862885"/>
      </left>
      <right/>
      <top/>
      <bottom style="medium">
        <color theme="3" tint="0.59996337778862885"/>
      </bottom>
      <diagonal/>
    </border>
    <border>
      <left/>
      <right/>
      <top/>
      <bottom style="medium">
        <color theme="3" tint="0.59996337778862885"/>
      </bottom>
      <diagonal/>
    </border>
    <border>
      <left style="hair">
        <color theme="0" tint="-0.34998626667073579"/>
      </left>
      <right/>
      <top/>
      <bottom style="medium">
        <color theme="3" tint="0.59996337778862885"/>
      </bottom>
      <diagonal/>
    </border>
    <border>
      <left/>
      <right style="hair">
        <color theme="0" tint="-0.34998626667073579"/>
      </right>
      <top/>
      <bottom style="medium">
        <color theme="3" tint="0.59996337778862885"/>
      </bottom>
      <diagonal/>
    </border>
    <border>
      <left/>
      <right style="hair">
        <color theme="1" tint="0.499984740745262"/>
      </right>
      <top/>
      <bottom style="medium">
        <color theme="3" tint="0.59996337778862885"/>
      </bottom>
      <diagonal/>
    </border>
    <border>
      <left/>
      <right style="medium">
        <color theme="3" tint="0.59996337778862885"/>
      </right>
      <top/>
      <bottom style="medium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medium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/>
      <right/>
      <top style="hair">
        <color auto="1"/>
      </top>
      <bottom style="medium">
        <color theme="3" tint="0.59996337778862885"/>
      </bottom>
      <diagonal/>
    </border>
  </borders>
  <cellStyleXfs count="62">
    <xf numFmtId="0" fontId="0" fillId="0" borderId="0"/>
    <xf numFmtId="9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1" fillId="4" borderId="0" applyNumberFormat="0" applyBorder="0" applyAlignment="0" applyProtection="0"/>
    <xf numFmtId="0" fontId="25" fillId="7" borderId="6" applyNumberFormat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7" fillId="8" borderId="9" applyNumberFormat="0" applyAlignment="0" applyProtection="0"/>
    <xf numFmtId="0" fontId="23" fillId="6" borderId="6" applyNumberFormat="0" applyAlignment="0" applyProtection="0"/>
    <xf numFmtId="0" fontId="26" fillId="0" borderId="8" applyNumberFormat="0" applyFill="0" applyAlignment="0" applyProtection="0"/>
    <xf numFmtId="0" fontId="22" fillId="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9" borderId="10" applyNumberFormat="0" applyFont="0" applyAlignment="0" applyProtection="0"/>
    <xf numFmtId="0" fontId="24" fillId="7" borderId="7" applyNumberForma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5" fillId="0" borderId="0" applyNumberFormat="0" applyFill="0" applyBorder="0" applyAlignment="0" applyProtection="0"/>
  </cellStyleXfs>
  <cellXfs count="321">
    <xf numFmtId="0" fontId="0" fillId="0" borderId="0" xfId="0"/>
    <xf numFmtId="0" fontId="2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6" fillId="2" borderId="12" xfId="0" applyFont="1" applyFill="1" applyBorder="1" applyAlignment="1">
      <alignment vertical="center"/>
    </xf>
    <xf numFmtId="0" fontId="8" fillId="2" borderId="0" xfId="0" applyFont="1" applyFill="1"/>
    <xf numFmtId="0" fontId="6" fillId="2" borderId="0" xfId="0" applyFont="1" applyFill="1"/>
    <xf numFmtId="0" fontId="33" fillId="2" borderId="0" xfId="0" applyFont="1" applyFill="1"/>
    <xf numFmtId="0" fontId="10" fillId="2" borderId="0" xfId="0" applyFont="1" applyFill="1"/>
    <xf numFmtId="0" fontId="31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14" fontId="30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/>
    </xf>
    <xf numFmtId="0" fontId="45" fillId="2" borderId="0" xfId="0" applyFont="1" applyFill="1" applyAlignment="1">
      <alignment horizontal="center"/>
    </xf>
    <xf numFmtId="0" fontId="9" fillId="2" borderId="0" xfId="0" applyFont="1" applyFill="1" applyAlignment="1">
      <alignment vertical="center"/>
    </xf>
    <xf numFmtId="0" fontId="39" fillId="2" borderId="0" xfId="0" applyFont="1" applyFill="1" applyAlignment="1">
      <alignment horizontal="left" vertical="top"/>
    </xf>
    <xf numFmtId="165" fontId="50" fillId="2" borderId="0" xfId="0" applyNumberFormat="1" applyFont="1" applyFill="1" applyAlignment="1">
      <alignment horizontal="center" vertical="center"/>
    </xf>
    <xf numFmtId="165" fontId="48" fillId="2" borderId="0" xfId="0" applyNumberFormat="1" applyFont="1" applyFill="1" applyAlignment="1">
      <alignment horizontal="center" vertical="center"/>
    </xf>
    <xf numFmtId="0" fontId="46" fillId="2" borderId="0" xfId="0" applyFont="1" applyFill="1" applyAlignment="1">
      <alignment vertical="center"/>
    </xf>
    <xf numFmtId="0" fontId="51" fillId="2" borderId="0" xfId="0" applyFont="1" applyFill="1" applyAlignment="1">
      <alignment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horizontal="center" vertical="center"/>
    </xf>
    <xf numFmtId="0" fontId="52" fillId="2" borderId="0" xfId="0" applyFont="1" applyFill="1" applyAlignment="1">
      <alignment horizontal="center" vertical="center"/>
    </xf>
    <xf numFmtId="1" fontId="54" fillId="2" borderId="0" xfId="0" applyNumberFormat="1" applyFont="1" applyFill="1" applyAlignment="1">
      <alignment horizontal="center" vertical="center"/>
    </xf>
    <xf numFmtId="0" fontId="53" fillId="2" borderId="0" xfId="0" applyFont="1" applyFill="1" applyAlignment="1">
      <alignment horizontal="left" vertical="center"/>
    </xf>
    <xf numFmtId="167" fontId="53" fillId="2" borderId="0" xfId="0" applyNumberFormat="1" applyFont="1" applyFill="1" applyAlignment="1">
      <alignment horizontal="center" vertical="center"/>
    </xf>
    <xf numFmtId="0" fontId="43" fillId="2" borderId="0" xfId="0" applyFont="1" applyFill="1" applyAlignment="1">
      <alignment vertical="center"/>
    </xf>
    <xf numFmtId="0" fontId="49" fillId="2" borderId="0" xfId="0" applyFont="1" applyFill="1" applyAlignment="1">
      <alignment vertical="center"/>
    </xf>
    <xf numFmtId="165" fontId="48" fillId="2" borderId="0" xfId="0" applyNumberFormat="1" applyFont="1" applyFill="1" applyAlignment="1">
      <alignment vertical="center"/>
    </xf>
    <xf numFmtId="165" fontId="50" fillId="2" borderId="0" xfId="0" applyNumberFormat="1" applyFont="1" applyFill="1" applyAlignment="1">
      <alignment vertical="center"/>
    </xf>
    <xf numFmtId="0" fontId="52" fillId="2" borderId="0" xfId="0" applyFont="1" applyFill="1" applyAlignment="1">
      <alignment horizontal="right" vertical="center"/>
    </xf>
    <xf numFmtId="0" fontId="47" fillId="2" borderId="0" xfId="0" applyFont="1" applyFill="1" applyAlignment="1">
      <alignment vertical="center"/>
    </xf>
    <xf numFmtId="14" fontId="51" fillId="2" borderId="0" xfId="0" applyNumberFormat="1" applyFont="1" applyFill="1" applyAlignment="1" applyProtection="1">
      <alignment horizontal="center" vertical="center"/>
      <protection hidden="1"/>
    </xf>
    <xf numFmtId="3" fontId="51" fillId="34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ill="1"/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hidden="1"/>
    </xf>
    <xf numFmtId="0" fontId="42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>
      <alignment horizontal="center" vertical="center"/>
    </xf>
    <xf numFmtId="2" fontId="50" fillId="2" borderId="0" xfId="0" applyNumberFormat="1" applyFont="1" applyFill="1" applyAlignment="1">
      <alignment horizontal="center" vertical="center"/>
    </xf>
    <xf numFmtId="0" fontId="61" fillId="2" borderId="0" xfId="0" applyFont="1" applyFill="1" applyAlignment="1">
      <alignment horizontal="center" vertical="center"/>
    </xf>
    <xf numFmtId="0" fontId="62" fillId="2" borderId="0" xfId="0" applyFont="1" applyFill="1" applyAlignment="1">
      <alignment horizontal="center" vertical="center"/>
    </xf>
    <xf numFmtId="0" fontId="63" fillId="2" borderId="0" xfId="0" applyFont="1" applyFill="1" applyAlignment="1">
      <alignment horizontal="center" vertical="center"/>
    </xf>
    <xf numFmtId="9" fontId="51" fillId="34" borderId="0" xfId="0" applyNumberFormat="1" applyFont="1" applyFill="1" applyAlignment="1" applyProtection="1">
      <alignment horizontal="center" vertical="center"/>
      <protection locked="0"/>
    </xf>
    <xf numFmtId="0" fontId="32" fillId="35" borderId="2" xfId="0" applyFont="1" applyFill="1" applyBorder="1" applyAlignment="1" applyProtection="1">
      <alignment horizontal="center" vertical="center"/>
      <protection locked="0"/>
    </xf>
    <xf numFmtId="0" fontId="74" fillId="2" borderId="0" xfId="0" applyFont="1" applyFill="1" applyAlignment="1">
      <alignment vertical="center"/>
    </xf>
    <xf numFmtId="0" fontId="75" fillId="2" borderId="0" xfId="0" applyFont="1" applyFill="1" applyAlignment="1">
      <alignment vertical="center"/>
    </xf>
    <xf numFmtId="0" fontId="77" fillId="2" borderId="0" xfId="0" applyFont="1" applyFill="1" applyAlignment="1">
      <alignment horizontal="right"/>
    </xf>
    <xf numFmtId="0" fontId="80" fillId="2" borderId="0" xfId="0" applyFont="1" applyFill="1" applyAlignment="1">
      <alignment horizontal="left" vertical="top"/>
    </xf>
    <xf numFmtId="0" fontId="2" fillId="2" borderId="14" xfId="0" applyFont="1" applyFill="1" applyBorder="1"/>
    <xf numFmtId="0" fontId="10" fillId="2" borderId="15" xfId="0" applyFont="1" applyFill="1" applyBorder="1" applyAlignment="1">
      <alignment vertical="center"/>
    </xf>
    <xf numFmtId="0" fontId="10" fillId="2" borderId="16" xfId="0" applyFont="1" applyFill="1" applyBorder="1" applyAlignment="1">
      <alignment vertical="center"/>
    </xf>
    <xf numFmtId="0" fontId="30" fillId="2" borderId="19" xfId="0" applyFont="1" applyFill="1" applyBorder="1" applyAlignment="1">
      <alignment vertical="center"/>
    </xf>
    <xf numFmtId="0" fontId="37" fillId="2" borderId="13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85" fillId="2" borderId="17" xfId="0" applyFont="1" applyFill="1" applyBorder="1" applyAlignment="1">
      <alignment vertical="center"/>
    </xf>
    <xf numFmtId="0" fontId="84" fillId="2" borderId="0" xfId="0" applyFont="1" applyFill="1" applyAlignment="1">
      <alignment vertical="center"/>
    </xf>
    <xf numFmtId="0" fontId="85" fillId="2" borderId="0" xfId="0" applyFont="1" applyFill="1" applyAlignment="1">
      <alignment vertical="center"/>
    </xf>
    <xf numFmtId="0" fontId="84" fillId="2" borderId="18" xfId="0" applyFont="1" applyFill="1" applyBorder="1" applyAlignment="1">
      <alignment vertical="center"/>
    </xf>
    <xf numFmtId="0" fontId="77" fillId="2" borderId="0" xfId="0" applyFont="1" applyFill="1" applyAlignment="1">
      <alignment vertical="center"/>
    </xf>
    <xf numFmtId="0" fontId="81" fillId="2" borderId="0" xfId="0" applyFont="1" applyFill="1" applyAlignment="1">
      <alignment vertical="center"/>
    </xf>
    <xf numFmtId="0" fontId="95" fillId="2" borderId="0" xfId="0" applyFont="1" applyFill="1"/>
    <xf numFmtId="0" fontId="79" fillId="2" borderId="16" xfId="0" applyFont="1" applyFill="1" applyBorder="1" applyAlignment="1">
      <alignment horizontal="center" vertical="center"/>
    </xf>
    <xf numFmtId="0" fontId="81" fillId="2" borderId="0" xfId="0" applyFont="1" applyFill="1" applyAlignment="1">
      <alignment vertical="top"/>
    </xf>
    <xf numFmtId="0" fontId="85" fillId="2" borderId="0" xfId="0" applyFont="1" applyFill="1" applyAlignment="1">
      <alignment vertical="top"/>
    </xf>
    <xf numFmtId="0" fontId="85" fillId="2" borderId="0" xfId="0" applyFont="1" applyFill="1"/>
    <xf numFmtId="0" fontId="105" fillId="2" borderId="0" xfId="0" applyFont="1" applyFill="1" applyAlignment="1">
      <alignment horizontal="left" vertical="center"/>
    </xf>
    <xf numFmtId="0" fontId="105" fillId="2" borderId="0" xfId="0" applyFont="1" applyFill="1" applyAlignment="1">
      <alignment horizontal="center" vertical="center"/>
    </xf>
    <xf numFmtId="0" fontId="10" fillId="36" borderId="14" xfId="0" applyFont="1" applyFill="1" applyBorder="1" applyAlignment="1">
      <alignment vertical="center"/>
    </xf>
    <xf numFmtId="0" fontId="10" fillId="36" borderId="15" xfId="0" applyFont="1" applyFill="1" applyBorder="1" applyAlignment="1">
      <alignment vertical="center"/>
    </xf>
    <xf numFmtId="0" fontId="113" fillId="36" borderId="0" xfId="0" applyFont="1" applyFill="1" applyAlignment="1">
      <alignment vertical="center"/>
    </xf>
    <xf numFmtId="0" fontId="10" fillId="36" borderId="19" xfId="0" applyFont="1" applyFill="1" applyBorder="1" applyAlignment="1">
      <alignment vertical="center"/>
    </xf>
    <xf numFmtId="0" fontId="10" fillId="36" borderId="13" xfId="0" applyFont="1" applyFill="1" applyBorder="1" applyAlignment="1">
      <alignment vertical="center"/>
    </xf>
    <xf numFmtId="0" fontId="113" fillId="36" borderId="17" xfId="0" applyFont="1" applyFill="1" applyBorder="1" applyAlignment="1">
      <alignment vertical="center"/>
    </xf>
    <xf numFmtId="0" fontId="13" fillId="36" borderId="1" xfId="0" applyFont="1" applyFill="1" applyBorder="1" applyAlignment="1">
      <alignment vertical="center"/>
    </xf>
    <xf numFmtId="0" fontId="32" fillId="35" borderId="65" xfId="0" applyFont="1" applyFill="1" applyBorder="1" applyAlignment="1" applyProtection="1">
      <alignment horizontal="center" vertical="center"/>
      <protection locked="0"/>
    </xf>
    <xf numFmtId="0" fontId="32" fillId="35" borderId="64" xfId="0" applyFont="1" applyFill="1" applyBorder="1" applyAlignment="1" applyProtection="1">
      <alignment horizontal="center" vertical="center"/>
      <protection locked="0"/>
    </xf>
    <xf numFmtId="0" fontId="6" fillId="2" borderId="51" xfId="0" applyFont="1" applyFill="1" applyBorder="1" applyAlignment="1">
      <alignment vertical="center"/>
    </xf>
    <xf numFmtId="0" fontId="6" fillId="2" borderId="54" xfId="0" applyFont="1" applyFill="1" applyBorder="1" applyAlignment="1">
      <alignment vertical="center"/>
    </xf>
    <xf numFmtId="0" fontId="6" fillId="2" borderId="56" xfId="0" applyFont="1" applyFill="1" applyBorder="1" applyAlignment="1">
      <alignment vertical="center"/>
    </xf>
    <xf numFmtId="0" fontId="6" fillId="2" borderId="59" xfId="0" applyFont="1" applyFill="1" applyBorder="1" applyAlignment="1">
      <alignment vertical="center"/>
    </xf>
    <xf numFmtId="0" fontId="81" fillId="2" borderId="59" xfId="0" applyFont="1" applyFill="1" applyBorder="1" applyAlignment="1">
      <alignment vertical="center"/>
    </xf>
    <xf numFmtId="0" fontId="6" fillId="2" borderId="63" xfId="0" applyFont="1" applyFill="1" applyBorder="1" applyAlignment="1">
      <alignment vertical="center"/>
    </xf>
    <xf numFmtId="0" fontId="14" fillId="36" borderId="0" xfId="0" applyFont="1" applyFill="1" applyAlignment="1">
      <alignment horizontal="center" vertical="center"/>
    </xf>
    <xf numFmtId="0" fontId="14" fillId="36" borderId="0" xfId="0" applyFont="1" applyFill="1" applyAlignment="1">
      <alignment horizontal="left" vertical="center"/>
    </xf>
    <xf numFmtId="0" fontId="9" fillId="36" borderId="0" xfId="0" applyFont="1" applyFill="1" applyAlignment="1">
      <alignment horizontal="center" vertical="center"/>
    </xf>
    <xf numFmtId="0" fontId="0" fillId="36" borderId="0" xfId="0" applyFill="1"/>
    <xf numFmtId="9" fontId="0" fillId="36" borderId="0" xfId="1" applyFont="1" applyFill="1" applyBorder="1"/>
    <xf numFmtId="0" fontId="64" fillId="36" borderId="0" xfId="0" applyFont="1" applyFill="1" applyAlignment="1">
      <alignment horizontal="center" vertical="center"/>
    </xf>
    <xf numFmtId="0" fontId="0" fillId="36" borderId="0" xfId="0" applyFill="1" applyAlignment="1">
      <alignment horizontal="center" vertical="center"/>
    </xf>
    <xf numFmtId="166" fontId="53" fillId="36" borderId="0" xfId="1" applyNumberFormat="1" applyFont="1" applyFill="1" applyBorder="1" applyAlignment="1">
      <alignment horizontal="center" vertical="center"/>
    </xf>
    <xf numFmtId="0" fontId="65" fillId="36" borderId="0" xfId="0" applyFont="1" applyFill="1" applyAlignment="1">
      <alignment horizontal="center" vertical="center"/>
    </xf>
    <xf numFmtId="0" fontId="56" fillId="36" borderId="0" xfId="0" applyFont="1" applyFill="1" applyAlignment="1">
      <alignment horizontal="center" vertical="center"/>
    </xf>
    <xf numFmtId="0" fontId="66" fillId="36" borderId="0" xfId="0" applyFont="1" applyFill="1" applyAlignment="1">
      <alignment horizontal="center" vertical="center"/>
    </xf>
    <xf numFmtId="0" fontId="55" fillId="36" borderId="0" xfId="0" applyFont="1" applyFill="1" applyAlignment="1">
      <alignment horizontal="center" vertical="center"/>
    </xf>
    <xf numFmtId="8" fontId="68" fillId="36" borderId="0" xfId="0" applyNumberFormat="1" applyFont="1" applyFill="1"/>
    <xf numFmtId="166" fontId="9" fillId="36" borderId="0" xfId="1" applyNumberFormat="1" applyFont="1" applyFill="1" applyBorder="1" applyAlignment="1">
      <alignment horizontal="center" vertical="center"/>
    </xf>
    <xf numFmtId="3" fontId="6" fillId="36" borderId="0" xfId="0" applyNumberFormat="1" applyFont="1" applyFill="1" applyAlignment="1">
      <alignment horizontal="center" vertical="center"/>
    </xf>
    <xf numFmtId="3" fontId="7" fillId="36" borderId="0" xfId="0" applyNumberFormat="1" applyFont="1" applyFill="1" applyAlignment="1">
      <alignment horizontal="center" vertical="center"/>
    </xf>
    <xf numFmtId="3" fontId="56" fillId="36" borderId="0" xfId="0" applyNumberFormat="1" applyFont="1" applyFill="1" applyAlignment="1">
      <alignment horizontal="center" vertical="center"/>
    </xf>
    <xf numFmtId="14" fontId="67" fillId="36" borderId="0" xfId="0" applyNumberFormat="1" applyFont="1" applyFill="1" applyAlignment="1">
      <alignment horizontal="center" vertical="center"/>
    </xf>
    <xf numFmtId="166" fontId="68" fillId="36" borderId="0" xfId="1" applyNumberFormat="1" applyFont="1" applyFill="1" applyBorder="1" applyAlignment="1">
      <alignment horizontal="center" vertical="center"/>
    </xf>
    <xf numFmtId="0" fontId="4" fillId="36" borderId="0" xfId="0" applyFont="1" applyFill="1" applyAlignment="1">
      <alignment horizontal="center" vertical="center"/>
    </xf>
    <xf numFmtId="3" fontId="55" fillId="36" borderId="0" xfId="0" applyNumberFormat="1" applyFont="1" applyFill="1" applyAlignment="1">
      <alignment horizontal="center" vertical="center"/>
    </xf>
    <xf numFmtId="0" fontId="8" fillId="36" borderId="0" xfId="0" applyFont="1" applyFill="1" applyAlignment="1">
      <alignment horizontal="center" vertical="center"/>
    </xf>
    <xf numFmtId="165" fontId="9" fillId="36" borderId="0" xfId="0" applyNumberFormat="1" applyFont="1" applyFill="1" applyAlignment="1">
      <alignment horizontal="center" vertical="center"/>
    </xf>
    <xf numFmtId="0" fontId="69" fillId="36" borderId="0" xfId="0" applyFont="1" applyFill="1" applyAlignment="1">
      <alignment horizontal="center" vertical="center"/>
    </xf>
    <xf numFmtId="4" fontId="70" fillId="36" borderId="0" xfId="0" applyNumberFormat="1" applyFont="1" applyFill="1" applyAlignment="1">
      <alignment horizontal="center" vertical="center"/>
    </xf>
    <xf numFmtId="165" fontId="67" fillId="36" borderId="0" xfId="0" applyNumberFormat="1" applyFont="1" applyFill="1" applyAlignment="1">
      <alignment horizontal="center" vertical="center"/>
    </xf>
    <xf numFmtId="10" fontId="67" fillId="36" borderId="0" xfId="1" applyNumberFormat="1" applyFont="1" applyFill="1" applyBorder="1" applyAlignment="1">
      <alignment horizontal="center" vertical="center"/>
    </xf>
    <xf numFmtId="167" fontId="9" fillId="36" borderId="0" xfId="0" applyNumberFormat="1" applyFont="1" applyFill="1" applyAlignment="1">
      <alignment horizontal="center"/>
    </xf>
    <xf numFmtId="2" fontId="70" fillId="36" borderId="0" xfId="0" applyNumberFormat="1" applyFont="1" applyFill="1" applyAlignment="1">
      <alignment horizontal="center" vertical="center"/>
    </xf>
    <xf numFmtId="4" fontId="9" fillId="36" borderId="0" xfId="1" applyNumberFormat="1" applyFont="1" applyFill="1" applyBorder="1" applyAlignment="1">
      <alignment horizontal="center"/>
    </xf>
    <xf numFmtId="10" fontId="9" fillId="36" borderId="0" xfId="1" applyNumberFormat="1" applyFont="1" applyFill="1" applyBorder="1" applyAlignment="1">
      <alignment horizontal="center"/>
    </xf>
    <xf numFmtId="10" fontId="99" fillId="36" borderId="0" xfId="1" applyNumberFormat="1" applyFont="1" applyFill="1" applyBorder="1" applyAlignment="1">
      <alignment horizontal="center"/>
    </xf>
    <xf numFmtId="0" fontId="71" fillId="36" borderId="0" xfId="0" applyFont="1" applyFill="1" applyAlignment="1">
      <alignment horizontal="center" vertical="center"/>
    </xf>
    <xf numFmtId="2" fontId="9" fillId="36" borderId="0" xfId="0" applyNumberFormat="1" applyFont="1" applyFill="1" applyAlignment="1">
      <alignment horizontal="center" vertical="center"/>
    </xf>
    <xf numFmtId="0" fontId="38" fillId="36" borderId="0" xfId="0" applyFont="1" applyFill="1" applyAlignment="1">
      <alignment horizontal="center" vertical="center"/>
    </xf>
    <xf numFmtId="0" fontId="105" fillId="36" borderId="0" xfId="0" applyFont="1" applyFill="1" applyAlignment="1">
      <alignment horizontal="center" vertical="center"/>
    </xf>
    <xf numFmtId="0" fontId="106" fillId="36" borderId="0" xfId="0" applyFont="1" applyFill="1" applyAlignment="1">
      <alignment horizontal="center" vertical="center"/>
    </xf>
    <xf numFmtId="165" fontId="107" fillId="36" borderId="0" xfId="0" applyNumberFormat="1" applyFont="1" applyFill="1" applyAlignment="1">
      <alignment horizontal="center" vertical="center"/>
    </xf>
    <xf numFmtId="0" fontId="108" fillId="36" borderId="0" xfId="0" applyFont="1" applyFill="1" applyAlignment="1">
      <alignment horizontal="center" vertical="center"/>
    </xf>
    <xf numFmtId="4" fontId="102" fillId="36" borderId="0" xfId="0" applyNumberFormat="1" applyFont="1" applyFill="1" applyAlignment="1">
      <alignment horizontal="center" vertical="center"/>
    </xf>
    <xf numFmtId="165" fontId="109" fillId="36" borderId="0" xfId="0" applyNumberFormat="1" applyFont="1" applyFill="1" applyAlignment="1">
      <alignment horizontal="center" vertical="center"/>
    </xf>
    <xf numFmtId="10" fontId="109" fillId="36" borderId="0" xfId="1" applyNumberFormat="1" applyFont="1" applyFill="1" applyBorder="1" applyAlignment="1">
      <alignment horizontal="center" vertical="center"/>
    </xf>
    <xf numFmtId="167" fontId="107" fillId="36" borderId="0" xfId="0" applyNumberFormat="1" applyFont="1" applyFill="1" applyAlignment="1">
      <alignment horizontal="center"/>
    </xf>
    <xf numFmtId="2" fontId="107" fillId="36" borderId="0" xfId="0" applyNumberFormat="1" applyFont="1" applyFill="1" applyAlignment="1">
      <alignment horizontal="center" vertical="center"/>
    </xf>
    <xf numFmtId="4" fontId="107" fillId="36" borderId="0" xfId="1" applyNumberFormat="1" applyFont="1" applyFill="1" applyBorder="1" applyAlignment="1">
      <alignment horizontal="center"/>
    </xf>
    <xf numFmtId="10" fontId="107" fillId="36" borderId="0" xfId="1" applyNumberFormat="1" applyFont="1" applyFill="1" applyBorder="1" applyAlignment="1">
      <alignment horizontal="center"/>
    </xf>
    <xf numFmtId="0" fontId="110" fillId="36" borderId="0" xfId="0" applyFont="1" applyFill="1" applyAlignment="1">
      <alignment horizontal="center" vertical="center"/>
    </xf>
    <xf numFmtId="0" fontId="97" fillId="36" borderId="0" xfId="0" applyFont="1" applyFill="1"/>
    <xf numFmtId="0" fontId="72" fillId="36" borderId="0" xfId="0" applyFont="1" applyFill="1" applyAlignment="1">
      <alignment horizontal="center" vertical="center"/>
    </xf>
    <xf numFmtId="166" fontId="66" fillId="36" borderId="0" xfId="1" applyNumberFormat="1" applyFont="1" applyFill="1" applyBorder="1" applyAlignment="1">
      <alignment horizontal="center" vertical="center"/>
    </xf>
    <xf numFmtId="167" fontId="51" fillId="36" borderId="0" xfId="0" applyNumberFormat="1" applyFont="1" applyFill="1" applyAlignment="1">
      <alignment horizontal="center" vertical="center"/>
    </xf>
    <xf numFmtId="167" fontId="70" fillId="36" borderId="0" xfId="0" applyNumberFormat="1" applyFont="1" applyFill="1" applyAlignment="1">
      <alignment horizontal="center" vertical="center"/>
    </xf>
    <xf numFmtId="165" fontId="117" fillId="36" borderId="0" xfId="0" applyNumberFormat="1" applyFont="1" applyFill="1" applyAlignment="1">
      <alignment horizontal="center" vertical="center"/>
    </xf>
    <xf numFmtId="8" fontId="9" fillId="36" borderId="0" xfId="0" applyNumberFormat="1" applyFont="1" applyFill="1" applyAlignment="1">
      <alignment horizontal="center" vertical="center"/>
    </xf>
    <xf numFmtId="171" fontId="9" fillId="36" borderId="0" xfId="0" applyNumberFormat="1" applyFont="1" applyFill="1" applyAlignment="1">
      <alignment horizontal="center" vertical="center"/>
    </xf>
    <xf numFmtId="0" fontId="67" fillId="36" borderId="0" xfId="0" applyFont="1" applyFill="1" applyAlignment="1">
      <alignment horizontal="center" vertical="center"/>
    </xf>
    <xf numFmtId="0" fontId="68" fillId="36" borderId="0" xfId="0" applyFont="1" applyFill="1" applyAlignment="1">
      <alignment horizontal="center" vertical="center"/>
    </xf>
    <xf numFmtId="3" fontId="9" fillId="36" borderId="0" xfId="0" applyNumberFormat="1" applyFont="1" applyFill="1" applyAlignment="1">
      <alignment horizontal="center" vertical="center"/>
    </xf>
    <xf numFmtId="9" fontId="8" fillId="36" borderId="0" xfId="0" applyNumberFormat="1" applyFont="1" applyFill="1" applyAlignment="1">
      <alignment horizontal="center" vertical="center"/>
    </xf>
    <xf numFmtId="4" fontId="68" fillId="36" borderId="0" xfId="0" applyNumberFormat="1" applyFont="1" applyFill="1" applyAlignment="1">
      <alignment horizontal="center" vertical="center"/>
    </xf>
    <xf numFmtId="0" fontId="68" fillId="36" borderId="0" xfId="0" applyFont="1" applyFill="1" applyAlignment="1">
      <alignment vertical="center"/>
    </xf>
    <xf numFmtId="167" fontId="68" fillId="36" borderId="0" xfId="0" applyNumberFormat="1" applyFont="1" applyFill="1" applyAlignment="1">
      <alignment horizontal="center" vertical="center"/>
    </xf>
    <xf numFmtId="165" fontId="68" fillId="36" borderId="0" xfId="0" applyNumberFormat="1" applyFont="1" applyFill="1" applyAlignment="1">
      <alignment horizontal="center" vertical="center"/>
    </xf>
    <xf numFmtId="0" fontId="97" fillId="36" borderId="0" xfId="0" applyFont="1" applyFill="1" applyAlignment="1">
      <alignment horizontal="center" vertical="center"/>
    </xf>
    <xf numFmtId="4" fontId="98" fillId="36" borderId="0" xfId="0" applyNumberFormat="1" applyFont="1" applyFill="1" applyAlignment="1">
      <alignment vertical="center"/>
    </xf>
    <xf numFmtId="165" fontId="98" fillId="36" borderId="0" xfId="0" applyNumberFormat="1" applyFont="1" applyFill="1" applyAlignment="1">
      <alignment horizontal="center" vertical="center"/>
    </xf>
    <xf numFmtId="165" fontId="99" fillId="36" borderId="0" xfId="0" applyNumberFormat="1" applyFont="1" applyFill="1" applyAlignment="1">
      <alignment horizontal="center" vertical="center"/>
    </xf>
    <xf numFmtId="0" fontId="100" fillId="36" borderId="0" xfId="0" applyFont="1" applyFill="1" applyAlignment="1">
      <alignment horizontal="center" vertical="center"/>
    </xf>
    <xf numFmtId="170" fontId="98" fillId="36" borderId="0" xfId="0" applyNumberFormat="1" applyFont="1" applyFill="1" applyAlignment="1">
      <alignment horizontal="center" vertical="center"/>
    </xf>
    <xf numFmtId="0" fontId="73" fillId="36" borderId="0" xfId="0" applyFont="1" applyFill="1"/>
    <xf numFmtId="14" fontId="99" fillId="36" borderId="0" xfId="0" applyNumberFormat="1" applyFont="1" applyFill="1" applyAlignment="1">
      <alignment horizontal="center" vertical="center"/>
    </xf>
    <xf numFmtId="0" fontId="98" fillId="36" borderId="0" xfId="0" applyFont="1" applyFill="1"/>
    <xf numFmtId="9" fontId="9" fillId="36" borderId="0" xfId="0" applyNumberFormat="1" applyFont="1" applyFill="1" applyAlignment="1">
      <alignment horizontal="center" vertical="center"/>
    </xf>
    <xf numFmtId="0" fontId="98" fillId="36" borderId="0" xfId="0" applyFont="1" applyFill="1" applyAlignment="1">
      <alignment horizontal="center" vertical="center"/>
    </xf>
    <xf numFmtId="0" fontId="99" fillId="36" borderId="0" xfId="0" applyFont="1" applyFill="1" applyAlignment="1">
      <alignment horizontal="center" vertical="center"/>
    </xf>
    <xf numFmtId="170" fontId="99" fillId="36" borderId="0" xfId="0" applyNumberFormat="1" applyFont="1" applyFill="1" applyAlignment="1">
      <alignment horizontal="center" vertical="center"/>
    </xf>
    <xf numFmtId="166" fontId="9" fillId="36" borderId="0" xfId="1" applyNumberFormat="1" applyFont="1" applyFill="1" applyAlignment="1">
      <alignment horizontal="center" vertical="center"/>
    </xf>
    <xf numFmtId="166" fontId="102" fillId="36" borderId="0" xfId="1" applyNumberFormat="1" applyFont="1" applyFill="1" applyAlignment="1">
      <alignment horizontal="center" vertical="center"/>
    </xf>
    <xf numFmtId="166" fontId="107" fillId="36" borderId="0" xfId="1" applyNumberFormat="1" applyFont="1" applyFill="1" applyAlignment="1">
      <alignment horizontal="center" vertical="center"/>
    </xf>
    <xf numFmtId="166" fontId="99" fillId="36" borderId="0" xfId="1" applyNumberFormat="1" applyFont="1" applyFill="1" applyAlignment="1">
      <alignment horizontal="center" vertical="center"/>
    </xf>
    <xf numFmtId="0" fontId="101" fillId="36" borderId="0" xfId="0" applyFont="1" applyFill="1" applyAlignment="1">
      <alignment horizontal="center" vertical="center"/>
    </xf>
    <xf numFmtId="0" fontId="8" fillId="36" borderId="0" xfId="0" applyFont="1" applyFill="1"/>
    <xf numFmtId="14" fontId="9" fillId="36" borderId="0" xfId="0" applyNumberFormat="1" applyFont="1" applyFill="1" applyAlignment="1">
      <alignment horizontal="center" vertical="center"/>
    </xf>
    <xf numFmtId="10" fontId="9" fillId="36" borderId="0" xfId="1" applyNumberFormat="1" applyFont="1" applyFill="1" applyAlignment="1">
      <alignment horizontal="center" vertical="center"/>
    </xf>
    <xf numFmtId="0" fontId="68" fillId="36" borderId="0" xfId="0" applyFont="1" applyFill="1" applyAlignment="1">
      <alignment horizontal="center"/>
    </xf>
    <xf numFmtId="0" fontId="0" fillId="36" borderId="0" xfId="0" applyFill="1" applyAlignment="1">
      <alignment horizontal="center"/>
    </xf>
    <xf numFmtId="9" fontId="68" fillId="36" borderId="0" xfId="0" applyNumberFormat="1" applyFont="1" applyFill="1" applyAlignment="1">
      <alignment horizontal="center" vertical="center"/>
    </xf>
    <xf numFmtId="167" fontId="68" fillId="36" borderId="0" xfId="0" applyNumberFormat="1" applyFont="1" applyFill="1" applyAlignment="1">
      <alignment horizontal="center"/>
    </xf>
    <xf numFmtId="0" fontId="9" fillId="36" borderId="0" xfId="0" applyFont="1" applyFill="1" applyAlignment="1">
      <alignment horizontal="right" vertical="center"/>
    </xf>
    <xf numFmtId="9" fontId="9" fillId="36" borderId="0" xfId="1" applyFont="1" applyFill="1" applyBorder="1" applyAlignment="1">
      <alignment horizontal="center" vertical="center"/>
    </xf>
    <xf numFmtId="0" fontId="111" fillId="36" borderId="17" xfId="0" applyFont="1" applyFill="1" applyBorder="1" applyAlignment="1">
      <alignment vertical="center"/>
    </xf>
    <xf numFmtId="0" fontId="111" fillId="36" borderId="0" xfId="0" applyFont="1" applyFill="1" applyAlignment="1">
      <alignment vertical="center"/>
    </xf>
    <xf numFmtId="0" fontId="114" fillId="36" borderId="0" xfId="0" applyFont="1" applyFill="1"/>
    <xf numFmtId="0" fontId="10" fillId="36" borderId="0" xfId="0" applyFont="1" applyFill="1" applyAlignment="1">
      <alignment vertical="center"/>
    </xf>
    <xf numFmtId="167" fontId="0" fillId="34" borderId="0" xfId="0" applyNumberFormat="1" applyFill="1" applyAlignment="1" applyProtection="1">
      <alignment horizontal="center" vertical="center"/>
      <protection locked="0"/>
    </xf>
    <xf numFmtId="0" fontId="34" fillId="35" borderId="0" xfId="0" applyFont="1" applyFill="1" applyAlignment="1" applyProtection="1">
      <alignment horizontal="center" vertical="center"/>
      <protection locked="0"/>
    </xf>
    <xf numFmtId="14" fontId="30" fillId="2" borderId="13" xfId="0" applyNumberFormat="1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center" vertical="top"/>
    </xf>
    <xf numFmtId="0" fontId="6" fillId="2" borderId="20" xfId="0" applyFont="1" applyFill="1" applyBorder="1" applyAlignment="1">
      <alignment horizontal="center" vertical="top"/>
    </xf>
    <xf numFmtId="167" fontId="90" fillId="2" borderId="46" xfId="0" applyNumberFormat="1" applyFont="1" applyFill="1" applyBorder="1" applyAlignment="1">
      <alignment horizontal="center" vertical="center"/>
    </xf>
    <xf numFmtId="167" fontId="89" fillId="2" borderId="43" xfId="0" applyNumberFormat="1" applyFont="1" applyFill="1" applyBorder="1" applyAlignment="1">
      <alignment horizontal="center" vertical="center"/>
    </xf>
    <xf numFmtId="167" fontId="89" fillId="2" borderId="0" xfId="0" applyNumberFormat="1" applyFont="1" applyFill="1" applyAlignment="1">
      <alignment horizontal="center" vertical="center"/>
    </xf>
    <xf numFmtId="167" fontId="89" fillId="2" borderId="44" xfId="0" applyNumberFormat="1" applyFont="1" applyFill="1" applyBorder="1" applyAlignment="1">
      <alignment horizontal="center" vertical="center"/>
    </xf>
    <xf numFmtId="167" fontId="89" fillId="2" borderId="45" xfId="0" applyNumberFormat="1" applyFont="1" applyFill="1" applyBorder="1" applyAlignment="1">
      <alignment horizontal="center" vertical="center"/>
    </xf>
    <xf numFmtId="167" fontId="89" fillId="2" borderId="47" xfId="0" applyNumberFormat="1" applyFont="1" applyFill="1" applyBorder="1" applyAlignment="1">
      <alignment horizontal="center" vertical="center"/>
    </xf>
    <xf numFmtId="167" fontId="89" fillId="2" borderId="46" xfId="0" applyNumberFormat="1" applyFont="1" applyFill="1" applyBorder="1" applyAlignment="1">
      <alignment horizontal="center" vertical="center"/>
    </xf>
    <xf numFmtId="167" fontId="89" fillId="2" borderId="48" xfId="0" applyNumberFormat="1" applyFont="1" applyFill="1" applyBorder="1" applyAlignment="1">
      <alignment horizontal="center" vertical="center"/>
    </xf>
    <xf numFmtId="167" fontId="91" fillId="2" borderId="0" xfId="0" applyNumberFormat="1" applyFont="1" applyFill="1" applyAlignment="1">
      <alignment horizontal="center" vertical="center"/>
    </xf>
    <xf numFmtId="167" fontId="91" fillId="2" borderId="56" xfId="0" applyNumberFormat="1" applyFont="1" applyFill="1" applyBorder="1" applyAlignment="1">
      <alignment horizontal="center" vertical="center"/>
    </xf>
    <xf numFmtId="14" fontId="94" fillId="2" borderId="40" xfId="0" applyNumberFormat="1" applyFont="1" applyFill="1" applyBorder="1" applyAlignment="1">
      <alignment horizontal="center" vertical="center"/>
    </xf>
    <xf numFmtId="14" fontId="94" fillId="2" borderId="41" xfId="0" applyNumberFormat="1" applyFont="1" applyFill="1" applyBorder="1" applyAlignment="1">
      <alignment horizontal="center" vertical="center"/>
    </xf>
    <xf numFmtId="14" fontId="94" fillId="2" borderId="42" xfId="0" applyNumberFormat="1" applyFont="1" applyFill="1" applyBorder="1" applyAlignment="1">
      <alignment horizontal="center" vertical="center"/>
    </xf>
    <xf numFmtId="167" fontId="91" fillId="2" borderId="46" xfId="0" applyNumberFormat="1" applyFont="1" applyFill="1" applyBorder="1" applyAlignment="1">
      <alignment horizontal="center" vertical="center"/>
    </xf>
    <xf numFmtId="167" fontId="91" fillId="2" borderId="57" xfId="0" applyNumberFormat="1" applyFont="1" applyFill="1" applyBorder="1" applyAlignment="1">
      <alignment horizontal="center" vertical="center"/>
    </xf>
    <xf numFmtId="0" fontId="56" fillId="2" borderId="0" xfId="0" applyFont="1" applyFill="1" applyAlignment="1">
      <alignment horizontal="center" vertical="center"/>
    </xf>
    <xf numFmtId="0" fontId="76" fillId="2" borderId="0" xfId="0" applyFont="1" applyFill="1" applyAlignment="1">
      <alignment horizontal="left" vertical="center"/>
    </xf>
    <xf numFmtId="0" fontId="76" fillId="2" borderId="18" xfId="0" applyFont="1" applyFill="1" applyBorder="1" applyAlignment="1">
      <alignment horizontal="left" vertical="center"/>
    </xf>
    <xf numFmtId="14" fontId="85" fillId="2" borderId="0" xfId="0" applyNumberFormat="1" applyFont="1" applyFill="1" applyAlignment="1">
      <alignment horizontal="left" vertical="center"/>
    </xf>
    <xf numFmtId="0" fontId="81" fillId="2" borderId="14" xfId="0" applyFont="1" applyFill="1" applyBorder="1" applyAlignment="1">
      <alignment horizontal="center" vertical="center"/>
    </xf>
    <xf numFmtId="0" fontId="81" fillId="2" borderId="15" xfId="0" applyFont="1" applyFill="1" applyBorder="1" applyAlignment="1">
      <alignment horizontal="center" vertical="center"/>
    </xf>
    <xf numFmtId="0" fontId="81" fillId="2" borderId="16" xfId="0" applyFont="1" applyFill="1" applyBorder="1" applyAlignment="1">
      <alignment horizontal="center" vertical="center"/>
    </xf>
    <xf numFmtId="0" fontId="76" fillId="2" borderId="0" xfId="1" applyNumberFormat="1" applyFont="1" applyFill="1" applyBorder="1" applyAlignment="1">
      <alignment horizontal="center" vertical="center"/>
    </xf>
    <xf numFmtId="167" fontId="76" fillId="2" borderId="0" xfId="0" applyNumberFormat="1" applyFont="1" applyFill="1" applyAlignment="1">
      <alignment horizontal="left" vertical="center"/>
    </xf>
    <xf numFmtId="167" fontId="76" fillId="2" borderId="18" xfId="0" applyNumberFormat="1" applyFont="1" applyFill="1" applyBorder="1" applyAlignment="1">
      <alignment horizontal="left" vertical="center"/>
    </xf>
    <xf numFmtId="0" fontId="92" fillId="2" borderId="0" xfId="0" applyFont="1" applyFill="1" applyAlignment="1">
      <alignment horizontal="left" vertical="center"/>
    </xf>
    <xf numFmtId="0" fontId="92" fillId="2" borderId="18" xfId="0" applyFont="1" applyFill="1" applyBorder="1" applyAlignment="1">
      <alignment horizontal="left" vertical="center"/>
    </xf>
    <xf numFmtId="3" fontId="93" fillId="2" borderId="0" xfId="0" applyNumberFormat="1" applyFont="1" applyFill="1" applyAlignment="1">
      <alignment horizontal="center" vertical="center"/>
    </xf>
    <xf numFmtId="167" fontId="92" fillId="2" borderId="0" xfId="0" applyNumberFormat="1" applyFont="1" applyFill="1" applyAlignment="1">
      <alignment horizontal="center" vertical="center"/>
    </xf>
    <xf numFmtId="0" fontId="10" fillId="36" borderId="15" xfId="0" applyFont="1" applyFill="1" applyBorder="1" applyAlignment="1">
      <alignment horizontal="center" vertical="center"/>
    </xf>
    <xf numFmtId="0" fontId="10" fillId="36" borderId="16" xfId="0" applyFont="1" applyFill="1" applyBorder="1" applyAlignment="1">
      <alignment horizontal="center" vertical="center"/>
    </xf>
    <xf numFmtId="0" fontId="10" fillId="36" borderId="0" xfId="0" applyFont="1" applyFill="1" applyAlignment="1">
      <alignment horizontal="center" vertical="center"/>
    </xf>
    <xf numFmtId="0" fontId="10" fillId="36" borderId="18" xfId="0" applyFont="1" applyFill="1" applyBorder="1" applyAlignment="1">
      <alignment horizontal="center" vertical="center"/>
    </xf>
    <xf numFmtId="0" fontId="10" fillId="36" borderId="13" xfId="0" applyFont="1" applyFill="1" applyBorder="1" applyAlignment="1">
      <alignment horizontal="center" vertical="center"/>
    </xf>
    <xf numFmtId="0" fontId="10" fillId="36" borderId="20" xfId="0" applyFont="1" applyFill="1" applyBorder="1" applyAlignment="1">
      <alignment horizontal="center" vertical="center"/>
    </xf>
    <xf numFmtId="8" fontId="78" fillId="2" borderId="0" xfId="0" applyNumberFormat="1" applyFont="1" applyFill="1" applyAlignment="1">
      <alignment horizontal="center"/>
    </xf>
    <xf numFmtId="0" fontId="11" fillId="36" borderId="50" xfId="0" applyFont="1" applyFill="1" applyBorder="1" applyAlignment="1">
      <alignment horizontal="center" vertical="center"/>
    </xf>
    <xf numFmtId="0" fontId="11" fillId="36" borderId="51" xfId="0" applyFont="1" applyFill="1" applyBorder="1" applyAlignment="1">
      <alignment horizontal="center" vertical="center"/>
    </xf>
    <xf numFmtId="0" fontId="11" fillId="36" borderId="52" xfId="0" applyFont="1" applyFill="1" applyBorder="1" applyAlignment="1">
      <alignment horizontal="center" vertical="center"/>
    </xf>
    <xf numFmtId="0" fontId="35" fillId="36" borderId="53" xfId="0" applyFont="1" applyFill="1" applyBorder="1" applyAlignment="1">
      <alignment horizontal="center" vertical="center"/>
    </xf>
    <xf numFmtId="0" fontId="35" fillId="36" borderId="51" xfId="0" applyFont="1" applyFill="1" applyBorder="1" applyAlignment="1">
      <alignment horizontal="center" vertical="center"/>
    </xf>
    <xf numFmtId="0" fontId="35" fillId="36" borderId="52" xfId="0" applyFont="1" applyFill="1" applyBorder="1" applyAlignment="1">
      <alignment horizontal="center" vertical="center"/>
    </xf>
    <xf numFmtId="0" fontId="15" fillId="36" borderId="53" xfId="0" applyFont="1" applyFill="1" applyBorder="1" applyAlignment="1">
      <alignment horizontal="center" vertical="center" wrapText="1"/>
    </xf>
    <xf numFmtId="0" fontId="15" fillId="36" borderId="51" xfId="0" applyFont="1" applyFill="1" applyBorder="1" applyAlignment="1">
      <alignment horizontal="center" vertical="center" wrapText="1"/>
    </xf>
    <xf numFmtId="0" fontId="15" fillId="36" borderId="54" xfId="0" applyFont="1" applyFill="1" applyBorder="1" applyAlignment="1">
      <alignment horizontal="center" vertical="center" wrapText="1"/>
    </xf>
    <xf numFmtId="0" fontId="15" fillId="36" borderId="2" xfId="0" applyFont="1" applyFill="1" applyBorder="1" applyAlignment="1">
      <alignment horizontal="center" vertical="center" wrapText="1"/>
    </xf>
    <xf numFmtId="0" fontId="15" fillId="36" borderId="0" xfId="0" applyFont="1" applyFill="1" applyAlignment="1">
      <alignment horizontal="center" vertical="center" wrapText="1"/>
    </xf>
    <xf numFmtId="0" fontId="15" fillId="36" borderId="56" xfId="0" applyFont="1" applyFill="1" applyBorder="1" applyAlignment="1">
      <alignment horizontal="center" vertical="center" wrapText="1"/>
    </xf>
    <xf numFmtId="0" fontId="11" fillId="36" borderId="55" xfId="0" applyFont="1" applyFill="1" applyBorder="1" applyAlignment="1">
      <alignment horizontal="center" vertical="center"/>
    </xf>
    <xf numFmtId="0" fontId="11" fillId="36" borderId="0" xfId="0" applyFont="1" applyFill="1" applyAlignment="1">
      <alignment horizontal="center" vertical="center"/>
    </xf>
    <xf numFmtId="0" fontId="11" fillId="36" borderId="1" xfId="0" applyFont="1" applyFill="1" applyBorder="1" applyAlignment="1">
      <alignment horizontal="center" vertical="center"/>
    </xf>
    <xf numFmtId="0" fontId="13" fillId="36" borderId="0" xfId="0" applyFont="1" applyFill="1" applyAlignment="1">
      <alignment horizontal="center" vertical="center"/>
    </xf>
    <xf numFmtId="0" fontId="12" fillId="36" borderId="2" xfId="0" applyFont="1" applyFill="1" applyBorder="1" applyAlignment="1">
      <alignment horizontal="center" vertical="center"/>
    </xf>
    <xf numFmtId="0" fontId="12" fillId="36" borderId="0" xfId="0" applyFont="1" applyFill="1" applyAlignment="1">
      <alignment horizontal="center" vertical="center"/>
    </xf>
    <xf numFmtId="0" fontId="12" fillId="36" borderId="1" xfId="0" applyFont="1" applyFill="1" applyBorder="1" applyAlignment="1">
      <alignment horizontal="center" vertical="center"/>
    </xf>
    <xf numFmtId="0" fontId="11" fillId="36" borderId="2" xfId="0" applyFont="1" applyFill="1" applyBorder="1" applyAlignment="1">
      <alignment horizontal="center" vertical="center"/>
    </xf>
    <xf numFmtId="0" fontId="88" fillId="2" borderId="0" xfId="0" applyFont="1" applyFill="1" applyAlignment="1">
      <alignment horizontal="center" vertical="center"/>
    </xf>
    <xf numFmtId="167" fontId="90" fillId="2" borderId="0" xfId="0" applyNumberFormat="1" applyFont="1" applyFill="1" applyAlignment="1">
      <alignment horizontal="center" vertical="center"/>
    </xf>
    <xf numFmtId="0" fontId="12" fillId="36" borderId="55" xfId="0" applyFont="1" applyFill="1" applyBorder="1" applyAlignment="1">
      <alignment horizontal="center" vertical="center"/>
    </xf>
    <xf numFmtId="0" fontId="11" fillId="36" borderId="55" xfId="0" applyFont="1" applyFill="1" applyBorder="1" applyAlignment="1">
      <alignment horizontal="center" vertical="center" textRotation="90"/>
    </xf>
    <xf numFmtId="0" fontId="11" fillId="36" borderId="58" xfId="0" applyFont="1" applyFill="1" applyBorder="1" applyAlignment="1">
      <alignment horizontal="center" vertical="center" textRotation="90"/>
    </xf>
    <xf numFmtId="0" fontId="88" fillId="2" borderId="46" xfId="0" applyFont="1" applyFill="1" applyBorder="1" applyAlignment="1">
      <alignment horizontal="center" vertical="center"/>
    </xf>
    <xf numFmtId="167" fontId="89" fillId="2" borderId="60" xfId="0" applyNumberFormat="1" applyFont="1" applyFill="1" applyBorder="1" applyAlignment="1">
      <alignment horizontal="center" vertical="center"/>
    </xf>
    <xf numFmtId="167" fontId="89" fillId="2" borderId="59" xfId="0" applyNumberFormat="1" applyFont="1" applyFill="1" applyBorder="1" applyAlignment="1">
      <alignment horizontal="center" vertical="center"/>
    </xf>
    <xf numFmtId="167" fontId="89" fillId="2" borderId="61" xfId="0" applyNumberFormat="1" applyFont="1" applyFill="1" applyBorder="1" applyAlignment="1">
      <alignment horizontal="center" vertical="center"/>
    </xf>
    <xf numFmtId="167" fontId="90" fillId="2" borderId="59" xfId="0" applyNumberFormat="1" applyFont="1" applyFill="1" applyBorder="1" applyAlignment="1">
      <alignment horizontal="center" vertical="center"/>
    </xf>
    <xf numFmtId="0" fontId="82" fillId="2" borderId="34" xfId="0" applyFont="1" applyFill="1" applyBorder="1" applyAlignment="1">
      <alignment horizontal="center" vertical="center"/>
    </xf>
    <xf numFmtId="0" fontId="81" fillId="2" borderId="24" xfId="0" applyFont="1" applyFill="1" applyBorder="1" applyAlignment="1">
      <alignment horizontal="center" vertical="center"/>
    </xf>
    <xf numFmtId="0" fontId="81" fillId="2" borderId="25" xfId="0" applyFont="1" applyFill="1" applyBorder="1" applyAlignment="1">
      <alignment horizontal="center" vertical="center"/>
    </xf>
    <xf numFmtId="0" fontId="80" fillId="2" borderId="35" xfId="0" applyFont="1" applyFill="1" applyBorder="1" applyAlignment="1">
      <alignment horizontal="center" vertical="center"/>
    </xf>
    <xf numFmtId="0" fontId="80" fillId="2" borderId="27" xfId="0" applyFont="1" applyFill="1" applyBorder="1" applyAlignment="1">
      <alignment horizontal="center" vertical="center"/>
    </xf>
    <xf numFmtId="0" fontId="80" fillId="2" borderId="28" xfId="0" applyFont="1" applyFill="1" applyBorder="1" applyAlignment="1">
      <alignment horizontal="center" vertical="center"/>
    </xf>
    <xf numFmtId="0" fontId="81" fillId="2" borderId="21" xfId="0" applyFont="1" applyFill="1" applyBorder="1" applyAlignment="1">
      <alignment horizontal="left" vertical="center"/>
    </xf>
    <xf numFmtId="0" fontId="81" fillId="2" borderId="32" xfId="0" applyFont="1" applyFill="1" applyBorder="1" applyAlignment="1">
      <alignment horizontal="left" vertical="center"/>
    </xf>
    <xf numFmtId="169" fontId="80" fillId="2" borderId="21" xfId="1" applyNumberFormat="1" applyFont="1" applyFill="1" applyBorder="1" applyAlignment="1">
      <alignment horizontal="center" vertical="center"/>
    </xf>
    <xf numFmtId="0" fontId="88" fillId="2" borderId="59" xfId="0" applyFont="1" applyFill="1" applyBorder="1" applyAlignment="1">
      <alignment horizontal="center" vertical="center"/>
    </xf>
    <xf numFmtId="167" fontId="91" fillId="2" borderId="59" xfId="0" applyNumberFormat="1" applyFont="1" applyFill="1" applyBorder="1" applyAlignment="1">
      <alignment horizontal="center" vertical="center"/>
    </xf>
    <xf numFmtId="167" fontId="91" fillId="2" borderId="63" xfId="0" applyNumberFormat="1" applyFont="1" applyFill="1" applyBorder="1" applyAlignment="1">
      <alignment horizontal="center" vertical="center"/>
    </xf>
    <xf numFmtId="167" fontId="89" fillId="2" borderId="62" xfId="0" applyNumberFormat="1" applyFont="1" applyFill="1" applyBorder="1" applyAlignment="1">
      <alignment horizontal="center" vertical="center"/>
    </xf>
    <xf numFmtId="167" fontId="89" fillId="2" borderId="49" xfId="0" applyNumberFormat="1" applyFont="1" applyFill="1" applyBorder="1" applyAlignment="1">
      <alignment horizontal="center" vertical="center"/>
    </xf>
    <xf numFmtId="0" fontId="80" fillId="2" borderId="0" xfId="0" applyFont="1" applyFill="1" applyAlignment="1">
      <alignment horizontal="left"/>
    </xf>
    <xf numFmtId="0" fontId="80" fillId="2" borderId="0" xfId="0" applyFont="1" applyFill="1" applyAlignment="1">
      <alignment horizontal="left" vertical="top"/>
    </xf>
    <xf numFmtId="0" fontId="81" fillId="2" borderId="0" xfId="0" applyFont="1" applyFill="1" applyAlignment="1">
      <alignment horizontal="center" vertical="center"/>
    </xf>
    <xf numFmtId="0" fontId="96" fillId="2" borderId="0" xfId="0" applyFont="1" applyFill="1" applyAlignment="1">
      <alignment horizontal="center" vertical="center"/>
    </xf>
    <xf numFmtId="0" fontId="82" fillId="2" borderId="22" xfId="0" applyFont="1" applyFill="1" applyBorder="1" applyAlignment="1">
      <alignment horizontal="center" vertical="center" wrapText="1"/>
    </xf>
    <xf numFmtId="0" fontId="82" fillId="2" borderId="23" xfId="0" applyFont="1" applyFill="1" applyBorder="1" applyAlignment="1">
      <alignment horizontal="center" vertical="center" wrapText="1"/>
    </xf>
    <xf numFmtId="0" fontId="82" fillId="2" borderId="36" xfId="0" applyFont="1" applyFill="1" applyBorder="1" applyAlignment="1">
      <alignment horizontal="center" vertical="center" wrapText="1"/>
    </xf>
    <xf numFmtId="0" fontId="82" fillId="2" borderId="37" xfId="0" applyFont="1" applyFill="1" applyBorder="1" applyAlignment="1">
      <alignment horizontal="center" vertical="center" wrapText="1"/>
    </xf>
    <xf numFmtId="0" fontId="82" fillId="2" borderId="38" xfId="0" applyFont="1" applyFill="1" applyBorder="1" applyAlignment="1">
      <alignment horizontal="center" vertical="center" wrapText="1"/>
    </xf>
    <xf numFmtId="0" fontId="82" fillId="2" borderId="39" xfId="0" applyFont="1" applyFill="1" applyBorder="1" applyAlignment="1">
      <alignment horizontal="center" vertical="center" wrapText="1"/>
    </xf>
    <xf numFmtId="0" fontId="81" fillId="2" borderId="22" xfId="0" applyFont="1" applyFill="1" applyBorder="1" applyAlignment="1">
      <alignment horizontal="center"/>
    </xf>
    <xf numFmtId="0" fontId="81" fillId="2" borderId="23" xfId="0" applyFont="1" applyFill="1" applyBorder="1" applyAlignment="1">
      <alignment horizontal="center"/>
    </xf>
    <xf numFmtId="0" fontId="81" fillId="2" borderId="36" xfId="0" applyFont="1" applyFill="1" applyBorder="1" applyAlignment="1">
      <alignment horizontal="center"/>
    </xf>
    <xf numFmtId="0" fontId="81" fillId="2" borderId="37" xfId="0" applyFont="1" applyFill="1" applyBorder="1" applyAlignment="1">
      <alignment horizontal="center" vertical="top"/>
    </xf>
    <xf numFmtId="0" fontId="81" fillId="2" borderId="38" xfId="0" applyFont="1" applyFill="1" applyBorder="1" applyAlignment="1">
      <alignment horizontal="center" vertical="top"/>
    </xf>
    <xf numFmtId="0" fontId="81" fillId="2" borderId="39" xfId="0" applyFont="1" applyFill="1" applyBorder="1" applyAlignment="1">
      <alignment horizontal="center" vertical="top"/>
    </xf>
    <xf numFmtId="0" fontId="86" fillId="2" borderId="0" xfId="0" applyFont="1" applyFill="1" applyAlignment="1">
      <alignment horizontal="left"/>
    </xf>
    <xf numFmtId="0" fontId="86" fillId="2" borderId="0" xfId="0" applyFont="1" applyFill="1" applyAlignment="1">
      <alignment horizontal="left" vertical="top"/>
    </xf>
    <xf numFmtId="0" fontId="40" fillId="36" borderId="50" xfId="0" applyFont="1" applyFill="1" applyBorder="1" applyAlignment="1">
      <alignment horizontal="center" vertical="center" wrapText="1"/>
    </xf>
    <xf numFmtId="0" fontId="40" fillId="36" borderId="51" xfId="0" applyFont="1" applyFill="1" applyBorder="1" applyAlignment="1">
      <alignment horizontal="center" vertical="center" wrapText="1"/>
    </xf>
    <xf numFmtId="0" fontId="40" fillId="36" borderId="55" xfId="0" applyFont="1" applyFill="1" applyBorder="1" applyAlignment="1">
      <alignment horizontal="center" vertical="center" wrapText="1"/>
    </xf>
    <xf numFmtId="0" fontId="40" fillId="36" borderId="0" xfId="0" applyFont="1" applyFill="1" applyAlignment="1">
      <alignment horizontal="center" vertical="center" wrapText="1"/>
    </xf>
    <xf numFmtId="0" fontId="40" fillId="36" borderId="58" xfId="0" applyFont="1" applyFill="1" applyBorder="1" applyAlignment="1">
      <alignment horizontal="center" vertical="center" wrapText="1"/>
    </xf>
    <xf numFmtId="0" fontId="40" fillId="36" borderId="59" xfId="0" applyFont="1" applyFill="1" applyBorder="1" applyAlignment="1">
      <alignment horizontal="center" vertical="center" wrapText="1"/>
    </xf>
    <xf numFmtId="0" fontId="82" fillId="2" borderId="66" xfId="0" applyFont="1" applyFill="1" applyBorder="1" applyAlignment="1">
      <alignment horizontal="center"/>
    </xf>
    <xf numFmtId="0" fontId="81" fillId="2" borderId="29" xfId="0" applyFont="1" applyFill="1" applyBorder="1" applyAlignment="1">
      <alignment horizontal="left" vertical="center"/>
    </xf>
    <xf numFmtId="0" fontId="81" fillId="2" borderId="30" xfId="0" applyFont="1" applyFill="1" applyBorder="1" applyAlignment="1">
      <alignment horizontal="left" vertical="center"/>
    </xf>
    <xf numFmtId="0" fontId="81" fillId="2" borderId="33" xfId="0" applyFont="1" applyFill="1" applyBorder="1" applyAlignment="1">
      <alignment horizontal="left" vertical="center"/>
    </xf>
    <xf numFmtId="169" fontId="80" fillId="2" borderId="29" xfId="1" applyNumberFormat="1" applyFont="1" applyFill="1" applyBorder="1" applyAlignment="1">
      <alignment horizontal="center" vertical="center"/>
    </xf>
    <xf numFmtId="169" fontId="80" fillId="2" borderId="30" xfId="1" applyNumberFormat="1" applyFont="1" applyFill="1" applyBorder="1" applyAlignment="1">
      <alignment horizontal="center" vertical="center"/>
    </xf>
    <xf numFmtId="169" fontId="80" fillId="2" borderId="31" xfId="1" applyNumberFormat="1" applyFont="1" applyFill="1" applyBorder="1" applyAlignment="1">
      <alignment horizontal="center" vertical="center"/>
    </xf>
    <xf numFmtId="0" fontId="81" fillId="2" borderId="0" xfId="0" applyFont="1" applyFill="1" applyAlignment="1">
      <alignment horizontal="left" vertical="center"/>
    </xf>
    <xf numFmtId="0" fontId="82" fillId="2" borderId="22" xfId="0" applyFont="1" applyFill="1" applyBorder="1" applyAlignment="1">
      <alignment horizontal="center" vertical="center"/>
    </xf>
    <xf numFmtId="0" fontId="82" fillId="2" borderId="23" xfId="0" applyFont="1" applyFill="1" applyBorder="1" applyAlignment="1">
      <alignment horizontal="center" vertical="center"/>
    </xf>
    <xf numFmtId="0" fontId="82" fillId="2" borderId="26" xfId="0" applyFont="1" applyFill="1" applyBorder="1" applyAlignment="1">
      <alignment horizontal="center" vertical="center"/>
    </xf>
    <xf numFmtId="0" fontId="82" fillId="2" borderId="0" xfId="0" applyFont="1" applyFill="1" applyAlignment="1">
      <alignment horizontal="center" vertical="center"/>
    </xf>
    <xf numFmtId="0" fontId="73" fillId="36" borderId="0" xfId="0" applyFont="1" applyFill="1" applyAlignment="1">
      <alignment horizontal="center"/>
    </xf>
    <xf numFmtId="0" fontId="57" fillId="36" borderId="0" xfId="0" applyFont="1" applyFill="1" applyAlignment="1">
      <alignment horizontal="center" vertical="center"/>
    </xf>
    <xf numFmtId="0" fontId="57" fillId="36" borderId="0" xfId="0" applyFont="1" applyFill="1" applyAlignment="1">
      <alignment horizontal="center"/>
    </xf>
    <xf numFmtId="0" fontId="56" fillId="36" borderId="0" xfId="0" applyFont="1" applyFill="1" applyAlignment="1">
      <alignment horizontal="center" vertical="center"/>
    </xf>
    <xf numFmtId="0" fontId="46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47" fillId="2" borderId="0" xfId="0" applyFont="1" applyFill="1" applyAlignment="1">
      <alignment horizontal="left" vertical="center"/>
    </xf>
    <xf numFmtId="0" fontId="51" fillId="34" borderId="0" xfId="0" applyFont="1" applyFill="1" applyAlignment="1" applyProtection="1">
      <alignment horizontal="left" vertical="center" wrapText="1"/>
      <protection locked="0"/>
    </xf>
    <xf numFmtId="0" fontId="51" fillId="34" borderId="0" xfId="0" applyFont="1" applyFill="1" applyAlignment="1" applyProtection="1">
      <alignment horizontal="left" vertical="center"/>
      <protection locked="0"/>
    </xf>
    <xf numFmtId="0" fontId="105" fillId="34" borderId="0" xfId="0" applyFont="1" applyFill="1" applyAlignment="1" applyProtection="1">
      <alignment horizontal="left" vertical="center"/>
      <protection locked="0"/>
    </xf>
    <xf numFmtId="0" fontId="51" fillId="2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center" vertical="center"/>
    </xf>
    <xf numFmtId="0" fontId="57" fillId="36" borderId="0" xfId="0" applyFont="1" applyFill="1" applyAlignment="1">
      <alignment horizontal="right" vertical="center"/>
    </xf>
    <xf numFmtId="167" fontId="52" fillId="2" borderId="0" xfId="0" applyNumberFormat="1" applyFont="1" applyFill="1" applyAlignment="1">
      <alignment horizontal="left" vertical="center"/>
    </xf>
    <xf numFmtId="0" fontId="60" fillId="37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omma 2" xfId="28" xr:uid="{00000000-0005-0000-0000-00001A000000}"/>
    <cellStyle name="Comma 3" xfId="29" xr:uid="{00000000-0005-0000-0000-00001B000000}"/>
    <cellStyle name="Comma 4" xfId="30" xr:uid="{00000000-0005-0000-0000-00001C000000}"/>
    <cellStyle name="Čiarka 2" xfId="31" xr:uid="{00000000-0005-0000-0000-00001D000000}"/>
    <cellStyle name="Čiarka 3" xfId="32" xr:uid="{00000000-0005-0000-0000-00001E000000}"/>
    <cellStyle name="Čiarka 4" xfId="33" xr:uid="{00000000-0005-0000-0000-00001F000000}"/>
    <cellStyle name="Čiarka 5" xfId="34" xr:uid="{00000000-0005-0000-0000-000020000000}"/>
    <cellStyle name="čiarky_Lease Rates Aug 2008 v1.3" xfId="35" xr:uid="{00000000-0005-0000-0000-000021000000}"/>
    <cellStyle name="Explanatory Text" xfId="36" xr:uid="{00000000-0005-0000-0000-000022000000}"/>
    <cellStyle name="Good" xfId="37" xr:uid="{00000000-0005-0000-0000-000023000000}"/>
    <cellStyle name="Heading 1" xfId="38" xr:uid="{00000000-0005-0000-0000-000024000000}"/>
    <cellStyle name="Heading 2" xfId="39" xr:uid="{00000000-0005-0000-0000-000025000000}"/>
    <cellStyle name="Heading 3" xfId="40" xr:uid="{00000000-0005-0000-0000-000026000000}"/>
    <cellStyle name="Heading 4" xfId="41" xr:uid="{00000000-0005-0000-0000-000027000000}"/>
    <cellStyle name="Check Cell" xfId="42" xr:uid="{00000000-0005-0000-0000-000028000000}"/>
    <cellStyle name="Input" xfId="43" xr:uid="{00000000-0005-0000-0000-000029000000}"/>
    <cellStyle name="Linked Cell" xfId="44" xr:uid="{00000000-0005-0000-0000-00002A000000}"/>
    <cellStyle name="Neutral" xfId="45" xr:uid="{00000000-0005-0000-0000-00002B000000}"/>
    <cellStyle name="Normal" xfId="0" builtinId="0"/>
    <cellStyle name="Normal 2" xfId="46" xr:uid="{00000000-0005-0000-0000-00002D000000}"/>
    <cellStyle name="Normálna 2" xfId="47" xr:uid="{00000000-0005-0000-0000-00002E000000}"/>
    <cellStyle name="Normálna 3" xfId="48" xr:uid="{00000000-0005-0000-0000-00002F000000}"/>
    <cellStyle name="normálne_Lease Rates Aug 2008 v1.3" xfId="49" xr:uid="{00000000-0005-0000-0000-000030000000}"/>
    <cellStyle name="Note" xfId="50" xr:uid="{00000000-0005-0000-0000-000031000000}"/>
    <cellStyle name="Output" xfId="51" xr:uid="{00000000-0005-0000-0000-000032000000}"/>
    <cellStyle name="Percent" xfId="1" builtinId="5"/>
    <cellStyle name="Percent 2" xfId="52" xr:uid="{00000000-0005-0000-0000-000034000000}"/>
    <cellStyle name="Percent 3" xfId="53" xr:uid="{00000000-0005-0000-0000-000035000000}"/>
    <cellStyle name="Percent 4" xfId="54" xr:uid="{00000000-0005-0000-0000-000036000000}"/>
    <cellStyle name="Percentá 2" xfId="55" xr:uid="{00000000-0005-0000-0000-000037000000}"/>
    <cellStyle name="Percentá 3" xfId="56" xr:uid="{00000000-0005-0000-0000-000038000000}"/>
    <cellStyle name="Percentá 4" xfId="57" xr:uid="{00000000-0005-0000-0000-000039000000}"/>
    <cellStyle name="Percentá 5" xfId="58" xr:uid="{00000000-0005-0000-0000-00003A000000}"/>
    <cellStyle name="Title" xfId="59" xr:uid="{00000000-0005-0000-0000-00003B000000}"/>
    <cellStyle name="Total" xfId="60" xr:uid="{00000000-0005-0000-0000-00003C000000}"/>
    <cellStyle name="Warning Text" xfId="61" xr:uid="{00000000-0005-0000-0000-00003D000000}"/>
  </cellStyles>
  <dxfs count="12">
    <dxf>
      <font>
        <strike/>
        <color theme="0"/>
      </font>
      <fill>
        <patternFill>
          <bgColor rgb="FFFF0000"/>
        </patternFill>
      </fill>
    </dxf>
    <dxf>
      <font>
        <strike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0000FF"/>
      <color rgb="FF00D661"/>
      <color rgb="FFFFFFA3"/>
      <color rgb="FFFFFFE7"/>
      <color rgb="FFFEF6F0"/>
      <color rgb="FF3465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112568</xdr:colOff>
      <xdr:row>1</xdr:row>
      <xdr:rowOff>189959</xdr:rowOff>
    </xdr:from>
    <xdr:to>
      <xdr:col>9</xdr:col>
      <xdr:colOff>89255</xdr:colOff>
      <xdr:row>3</xdr:row>
      <xdr:rowOff>112028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427" y="380459"/>
          <a:ext cx="1155406" cy="33283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AE50"/>
  <sheetViews>
    <sheetView zoomScale="115" zoomScaleNormal="115" workbookViewId="0">
      <selection activeCell="F18" sqref="F18"/>
    </sheetView>
  </sheetViews>
  <sheetFormatPr defaultColWidth="8.85546875" defaultRowHeight="15.75" x14ac:dyDescent="0.25"/>
  <cols>
    <col min="1" max="1" width="2.28515625" style="2" customWidth="1"/>
    <col min="2" max="24" width="4.28515625" style="2" customWidth="1"/>
    <col min="25" max="25" width="4.28515625" style="15" customWidth="1"/>
    <col min="26" max="26" width="4.28515625" style="1" customWidth="1"/>
    <col min="27" max="27" width="1.42578125" style="1" customWidth="1"/>
    <col min="28" max="51" width="4.28515625" style="1" customWidth="1"/>
    <col min="52" max="16384" width="8.85546875" style="1"/>
  </cols>
  <sheetData>
    <row r="1" spans="1:27" ht="9" customHeight="1" x14ac:dyDescent="0.25"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</row>
    <row r="2" spans="1:27" ht="5.0999999999999996" customHeight="1" x14ac:dyDescent="0.25"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218" t="e" vm="1">
        <v>#VALUE!</v>
      </c>
      <c r="S2" s="218"/>
      <c r="T2" s="218"/>
      <c r="U2" s="218"/>
      <c r="V2" s="218"/>
      <c r="W2" s="219"/>
    </row>
    <row r="3" spans="1:27" ht="32.1" customHeight="1" x14ac:dyDescent="0.25">
      <c r="B3" s="180" t="s">
        <v>93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3"/>
      <c r="P3" s="183"/>
      <c r="Q3" s="183"/>
      <c r="R3" s="220"/>
      <c r="S3" s="220"/>
      <c r="T3" s="220"/>
      <c r="U3" s="220"/>
      <c r="V3" s="220"/>
      <c r="W3" s="221"/>
    </row>
    <row r="4" spans="1:27" ht="20.100000000000001" customHeight="1" x14ac:dyDescent="0.25">
      <c r="B4" s="80" t="s">
        <v>94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182"/>
      <c r="N4" s="182"/>
      <c r="O4" s="183"/>
      <c r="P4" s="183"/>
      <c r="Q4" s="183"/>
      <c r="R4" s="220"/>
      <c r="S4" s="220"/>
      <c r="T4" s="220"/>
      <c r="U4" s="220"/>
      <c r="V4" s="220"/>
      <c r="W4" s="221"/>
    </row>
    <row r="5" spans="1:27" ht="8.1" customHeight="1" x14ac:dyDescent="0.25">
      <c r="B5" s="78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222"/>
      <c r="S5" s="222"/>
      <c r="T5" s="222"/>
      <c r="U5" s="222"/>
      <c r="V5" s="222"/>
      <c r="W5" s="223"/>
    </row>
    <row r="6" spans="1:27" ht="4.9000000000000004" customHeight="1" x14ac:dyDescent="0.25"/>
    <row r="7" spans="1:27" ht="4.9000000000000004" customHeight="1" x14ac:dyDescent="0.25"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55"/>
      <c r="Q7" s="55"/>
      <c r="R7" s="55"/>
      <c r="S7" s="55"/>
      <c r="T7" s="55"/>
      <c r="U7" s="55"/>
      <c r="V7" s="55"/>
      <c r="W7" s="56"/>
    </row>
    <row r="8" spans="1:27" ht="21.95" customHeight="1" x14ac:dyDescent="0.25">
      <c r="B8" s="62" t="s">
        <v>16</v>
      </c>
      <c r="C8" s="63"/>
      <c r="D8" s="63"/>
      <c r="E8" s="63"/>
      <c r="F8" s="214" t="str">
        <f>'TU zadajte VSTUPNÉ ÚDAJE'!F10</f>
        <v>zadajte zákazníka (podľa OR/ŽR)</v>
      </c>
      <c r="G8" s="214"/>
      <c r="H8" s="214"/>
      <c r="I8" s="214"/>
      <c r="J8" s="214"/>
      <c r="K8" s="214"/>
      <c r="L8" s="214"/>
      <c r="M8" s="214"/>
      <c r="N8" s="214"/>
      <c r="O8" s="215"/>
      <c r="P8" s="64" t="s">
        <v>28</v>
      </c>
      <c r="Q8" s="63"/>
      <c r="R8" s="63"/>
      <c r="S8" s="63"/>
      <c r="T8" s="216">
        <f>'TU zadajte VSTUPNÉ ÚDAJE'!F9</f>
        <v>12345678</v>
      </c>
      <c r="U8" s="216"/>
      <c r="V8" s="216"/>
      <c r="W8" s="65"/>
    </row>
    <row r="9" spans="1:27" ht="21.95" customHeight="1" x14ac:dyDescent="0.25">
      <c r="B9" s="62" t="s">
        <v>17</v>
      </c>
      <c r="C9" s="63"/>
      <c r="D9" s="63"/>
      <c r="E9" s="63"/>
      <c r="F9" s="205" t="str">
        <f>'TU zadajte VSTUPNÉ ÚDAJE'!F7</f>
        <v>zadajte predmet(y)</v>
      </c>
      <c r="G9" s="205"/>
      <c r="H9" s="205"/>
      <c r="I9" s="205"/>
      <c r="J9" s="205"/>
      <c r="K9" s="205"/>
      <c r="L9" s="205"/>
      <c r="M9" s="205"/>
      <c r="N9" s="205"/>
      <c r="O9" s="206"/>
      <c r="P9" s="64" t="s">
        <v>19</v>
      </c>
      <c r="Q9" s="63"/>
      <c r="R9" s="63"/>
      <c r="S9" s="63"/>
      <c r="T9" s="217">
        <f>'TU zadajte VSTUPNÉ ÚDAJE'!F11</f>
        <v>10000</v>
      </c>
      <c r="U9" s="217"/>
      <c r="V9" s="217"/>
      <c r="W9" s="65"/>
    </row>
    <row r="10" spans="1:27" ht="21.95" customHeight="1" x14ac:dyDescent="0.3">
      <c r="B10" s="62" t="s">
        <v>18</v>
      </c>
      <c r="C10" s="63"/>
      <c r="D10" s="63"/>
      <c r="E10" s="63"/>
      <c r="F10" s="205" t="str">
        <f>'TU zadajte VSTUPNÉ ÚDAJE'!F8</f>
        <v>zadajte dodávateľa (podľa OR/ŽR)</v>
      </c>
      <c r="G10" s="205"/>
      <c r="H10" s="205"/>
      <c r="I10" s="205"/>
      <c r="J10" s="205"/>
      <c r="K10" s="205"/>
      <c r="L10" s="205"/>
      <c r="M10" s="205"/>
      <c r="N10" s="205"/>
      <c r="O10" s="206"/>
      <c r="P10" s="72" t="s">
        <v>85</v>
      </c>
      <c r="Q10" s="63"/>
      <c r="R10" s="63"/>
      <c r="S10" s="211" t="str">
        <f>'TU zadajte VSTUPNÉ ÚDAJE'!H12&amp;"%  =&gt;"</f>
        <v>0%  =&gt;</v>
      </c>
      <c r="T10" s="211"/>
      <c r="U10" s="212">
        <f>'TU zadajte VSTUPNÉ ÚDAJE'!F13</f>
        <v>0</v>
      </c>
      <c r="V10" s="212"/>
      <c r="W10" s="213"/>
    </row>
    <row r="11" spans="1:27" ht="21.95" customHeight="1" x14ac:dyDescent="0.25">
      <c r="B11" s="62" t="s">
        <v>27</v>
      </c>
      <c r="C11" s="66"/>
      <c r="D11" s="66"/>
      <c r="E11" s="66"/>
      <c r="F11" s="207">
        <f ca="1">'TU zadajte VSTUPNÉ ÚDAJE'!F6</f>
        <v>45961</v>
      </c>
      <c r="G11" s="207"/>
      <c r="H11" s="207"/>
      <c r="I11" s="66"/>
      <c r="J11" s="66"/>
      <c r="K11" s="208" t="str">
        <f>" KALK 25.0"&amp;'TU zadajte VSTUPNÉ ÚDAJE'!F15*100</f>
        <v xml:space="preserve"> KALK 25.00</v>
      </c>
      <c r="L11" s="209"/>
      <c r="M11" s="209"/>
      <c r="N11" s="210"/>
      <c r="O11" s="69" t="str">
        <f>'TU zadajte VSTUPNÉ ÚDAJE'!AO19/1000&amp;"k"</f>
        <v>45k</v>
      </c>
      <c r="P11" s="71" t="s">
        <v>86</v>
      </c>
      <c r="Q11" s="70"/>
      <c r="R11" s="70"/>
      <c r="S11" s="211"/>
      <c r="T11" s="211"/>
      <c r="U11" s="212"/>
      <c r="V11" s="212"/>
      <c r="W11" s="213"/>
      <c r="AA11" s="6"/>
    </row>
    <row r="12" spans="1:27" ht="4.5" customHeight="1" x14ac:dyDescent="0.25">
      <c r="B12" s="57"/>
      <c r="C12" s="58"/>
      <c r="D12" s="58"/>
      <c r="E12" s="58"/>
      <c r="F12" s="186"/>
      <c r="G12" s="186"/>
      <c r="H12" s="186"/>
      <c r="I12" s="58"/>
      <c r="J12" s="58"/>
      <c r="K12" s="60"/>
      <c r="L12" s="59"/>
      <c r="M12" s="59"/>
      <c r="N12" s="61"/>
      <c r="O12" s="61"/>
      <c r="P12" s="187"/>
      <c r="Q12" s="187"/>
      <c r="R12" s="187"/>
      <c r="S12" s="187"/>
      <c r="T12" s="187"/>
      <c r="U12" s="187"/>
      <c r="V12" s="187"/>
      <c r="W12" s="188"/>
      <c r="AA12" s="6"/>
    </row>
    <row r="13" spans="1:27" ht="12" customHeight="1" thickBot="1" x14ac:dyDescent="0.3">
      <c r="B13" s="4"/>
      <c r="C13" s="11"/>
      <c r="D13" s="11"/>
      <c r="E13" s="11"/>
      <c r="F13" s="12"/>
      <c r="G13" s="12"/>
      <c r="H13" s="12"/>
      <c r="I13" s="11"/>
      <c r="J13" s="11"/>
      <c r="K13" s="11"/>
      <c r="L13" s="14"/>
      <c r="M13" s="14"/>
      <c r="N13" s="14"/>
      <c r="O13" s="14"/>
      <c r="P13" s="13"/>
      <c r="Q13" s="13"/>
      <c r="R13" s="13"/>
      <c r="S13" s="13"/>
      <c r="T13" s="13"/>
      <c r="U13" s="13"/>
      <c r="V13" s="13"/>
      <c r="W13" s="13"/>
      <c r="AA13" s="6"/>
    </row>
    <row r="14" spans="1:27" ht="21.75" customHeight="1" thickBot="1" x14ac:dyDescent="0.3">
      <c r="B14" s="51" t="s">
        <v>41</v>
      </c>
      <c r="C14" s="11"/>
      <c r="D14" s="11"/>
      <c r="E14" s="11"/>
      <c r="F14" s="12"/>
      <c r="G14" s="12"/>
      <c r="H14" s="199">
        <f ca="1">F11+14</f>
        <v>45975</v>
      </c>
      <c r="I14" s="200"/>
      <c r="J14" s="201"/>
      <c r="K14" s="50" t="s">
        <v>50</v>
      </c>
      <c r="L14" s="14"/>
      <c r="M14" s="14"/>
      <c r="N14" s="14"/>
      <c r="O14" s="14"/>
      <c r="P14" s="13"/>
      <c r="Q14" s="13"/>
      <c r="R14" s="13"/>
      <c r="S14" s="13"/>
      <c r="T14" s="13"/>
      <c r="U14" s="13"/>
      <c r="V14" s="204" t="str">
        <f ca="1">IF(F11=TODAY(),"","DTNOK")</f>
        <v/>
      </c>
      <c r="W14" s="204"/>
      <c r="AA14" s="6"/>
    </row>
    <row r="15" spans="1:27" ht="31.5" customHeight="1" x14ac:dyDescent="0.25">
      <c r="A15" s="9"/>
      <c r="B15" s="68" t="s">
        <v>6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1"/>
      <c r="U15" s="52" t="s">
        <v>37</v>
      </c>
      <c r="V15" s="224">
        <f>'TU zadajte VSTUPNÉ ÚDAJE'!AM14</f>
        <v>30</v>
      </c>
      <c r="W15" s="224"/>
      <c r="X15" s="9"/>
      <c r="Y15" s="16"/>
    </row>
    <row r="16" spans="1:27" ht="4.9000000000000004" customHeight="1" thickBot="1" x14ac:dyDescent="0.3"/>
    <row r="17" spans="1:31" ht="18.95" customHeight="1" x14ac:dyDescent="0.25">
      <c r="B17" s="225" t="s">
        <v>12</v>
      </c>
      <c r="C17" s="226"/>
      <c r="D17" s="226"/>
      <c r="E17" s="227"/>
      <c r="F17" s="228" t="s">
        <v>15</v>
      </c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30"/>
      <c r="U17" s="231" t="s">
        <v>14</v>
      </c>
      <c r="V17" s="232"/>
      <c r="W17" s="233"/>
      <c r="AA17" s="8"/>
    </row>
    <row r="18" spans="1:31" ht="18.95" customHeight="1" x14ac:dyDescent="0.25">
      <c r="B18" s="237" t="s">
        <v>9</v>
      </c>
      <c r="C18" s="238"/>
      <c r="D18" s="238"/>
      <c r="E18" s="239"/>
      <c r="F18" s="49"/>
      <c r="G18" s="240" t="s">
        <v>13</v>
      </c>
      <c r="H18" s="240"/>
      <c r="I18" s="240"/>
      <c r="J18" s="240"/>
      <c r="K18" s="49"/>
      <c r="L18" s="240" t="s">
        <v>38</v>
      </c>
      <c r="M18" s="240"/>
      <c r="N18" s="240"/>
      <c r="O18" s="240"/>
      <c r="P18" s="240"/>
      <c r="Q18" s="240"/>
      <c r="R18" s="240"/>
      <c r="S18" s="240"/>
      <c r="T18" s="81"/>
      <c r="U18" s="234"/>
      <c r="V18" s="235"/>
      <c r="W18" s="236"/>
      <c r="Z18" s="43"/>
    </row>
    <row r="19" spans="1:31" ht="18.95" customHeight="1" x14ac:dyDescent="0.25">
      <c r="B19" s="237" t="s">
        <v>10</v>
      </c>
      <c r="C19" s="238"/>
      <c r="D19" s="238"/>
      <c r="E19" s="239"/>
      <c r="F19" s="241" t="s">
        <v>4</v>
      </c>
      <c r="G19" s="242"/>
      <c r="H19" s="242"/>
      <c r="I19" s="242"/>
      <c r="J19" s="243"/>
      <c r="K19" s="241" t="s">
        <v>4</v>
      </c>
      <c r="L19" s="242"/>
      <c r="M19" s="242"/>
      <c r="N19" s="242"/>
      <c r="O19" s="242"/>
      <c r="P19" s="242"/>
      <c r="Q19" s="242"/>
      <c r="R19" s="242"/>
      <c r="S19" s="242"/>
      <c r="T19" s="243"/>
      <c r="U19" s="234"/>
      <c r="V19" s="235"/>
      <c r="W19" s="236"/>
      <c r="Z19" s="47" t="s">
        <v>77</v>
      </c>
    </row>
    <row r="20" spans="1:31" ht="18.95" customHeight="1" thickBot="1" x14ac:dyDescent="0.3">
      <c r="A20" s="1"/>
      <c r="B20" s="247" t="s">
        <v>11</v>
      </c>
      <c r="C20" s="242"/>
      <c r="D20" s="242"/>
      <c r="E20" s="243"/>
      <c r="F20" s="244" t="s">
        <v>5</v>
      </c>
      <c r="G20" s="238"/>
      <c r="H20" s="238"/>
      <c r="I20" s="238"/>
      <c r="J20" s="239"/>
      <c r="K20" s="241" t="s">
        <v>5</v>
      </c>
      <c r="L20" s="242"/>
      <c r="M20" s="242"/>
      <c r="N20" s="242"/>
      <c r="O20" s="242"/>
      <c r="P20" s="238" t="s">
        <v>3</v>
      </c>
      <c r="Q20" s="238"/>
      <c r="R20" s="238"/>
      <c r="S20" s="238"/>
      <c r="T20" s="239"/>
      <c r="U20" s="234"/>
      <c r="V20" s="235"/>
      <c r="W20" s="236"/>
      <c r="Y20" s="45" t="s">
        <v>61</v>
      </c>
      <c r="Z20" s="30"/>
      <c r="AA20" s="10"/>
      <c r="AB20" s="30"/>
      <c r="AC20" s="30"/>
      <c r="AD20" s="31"/>
      <c r="AE20" s="31"/>
    </row>
    <row r="21" spans="1:31" ht="18.95" customHeight="1" thickTop="1" thickBot="1" x14ac:dyDescent="0.3">
      <c r="A21" s="1"/>
      <c r="B21" s="248" t="s">
        <v>33</v>
      </c>
      <c r="C21" s="82"/>
      <c r="D21" s="245">
        <v>6</v>
      </c>
      <c r="E21" s="245"/>
      <c r="F21" s="190">
        <f>K21+'TU zadajte VSTUPNÉ ÚDAJE'!$AO$21</f>
        <v>1802.98</v>
      </c>
      <c r="G21" s="191"/>
      <c r="H21" s="191"/>
      <c r="I21" s="191"/>
      <c r="J21" s="192"/>
      <c r="K21" s="246">
        <f>'TU zadajte VSTUPNÉ ÚDAJE'!AI5</f>
        <v>1800</v>
      </c>
      <c r="L21" s="246"/>
      <c r="M21" s="246"/>
      <c r="N21" s="246"/>
      <c r="O21" s="246"/>
      <c r="P21" s="191">
        <f>K21*3</f>
        <v>5400</v>
      </c>
      <c r="Q21" s="191"/>
      <c r="R21" s="191"/>
      <c r="S21" s="191"/>
      <c r="T21" s="193"/>
      <c r="U21" s="197">
        <f>'TU zadajte VSTUPNÉ ÚDAJE'!AO5</f>
        <v>1400.0000000000002</v>
      </c>
      <c r="V21" s="197"/>
      <c r="W21" s="198"/>
      <c r="Y21" s="46" t="str">
        <f>'TU zadajte VSTUPNÉ ÚDAJE'!AT5</f>
        <v>A</v>
      </c>
      <c r="Z21" s="30"/>
      <c r="AA21" s="18"/>
      <c r="AB21" s="32"/>
      <c r="AC21" s="32"/>
      <c r="AD21" s="33"/>
      <c r="AE21" s="33"/>
    </row>
    <row r="22" spans="1:31" ht="18.95" customHeight="1" thickTop="1" thickBot="1" x14ac:dyDescent="0.3">
      <c r="A22" s="1"/>
      <c r="B22" s="248"/>
      <c r="C22" s="82"/>
      <c r="D22" s="250">
        <v>9</v>
      </c>
      <c r="E22" s="250"/>
      <c r="F22" s="194">
        <f>K22+'TU zadajte VSTUPNÉ ÚDAJE'!$AO$21</f>
        <v>1242.98</v>
      </c>
      <c r="G22" s="195"/>
      <c r="H22" s="195"/>
      <c r="I22" s="195"/>
      <c r="J22" s="196"/>
      <c r="K22" s="189">
        <f>'TU zadajte VSTUPNÉ ÚDAJE'!AI6</f>
        <v>1240</v>
      </c>
      <c r="L22" s="189"/>
      <c r="M22" s="189"/>
      <c r="N22" s="189"/>
      <c r="O22" s="189"/>
      <c r="P22" s="195">
        <f t="shared" ref="P22:P28" si="0">K22*3</f>
        <v>3720</v>
      </c>
      <c r="Q22" s="195"/>
      <c r="R22" s="195"/>
      <c r="S22" s="195"/>
      <c r="T22" s="268"/>
      <c r="U22" s="202">
        <f>'TU zadajte VSTUPNÉ ÚDAJE'!AO6</f>
        <v>1300</v>
      </c>
      <c r="V22" s="202"/>
      <c r="W22" s="203"/>
      <c r="Y22" s="46" t="str">
        <f>'TU zadajte VSTUPNÉ ÚDAJE'!AT6</f>
        <v>A</v>
      </c>
      <c r="Z22" s="30"/>
      <c r="AA22" s="18"/>
      <c r="AB22" s="32"/>
      <c r="AC22" s="32"/>
      <c r="AD22" s="33"/>
      <c r="AE22" s="44"/>
    </row>
    <row r="23" spans="1:31" ht="18.95" customHeight="1" thickTop="1" thickBot="1" x14ac:dyDescent="0.3">
      <c r="A23" s="1"/>
      <c r="B23" s="248"/>
      <c r="C23" s="82"/>
      <c r="D23" s="250">
        <v>12</v>
      </c>
      <c r="E23" s="250"/>
      <c r="F23" s="194">
        <f>K23+'TU zadajte VSTUPNÉ ÚDAJE'!$AO$21</f>
        <v>932.98000000000013</v>
      </c>
      <c r="G23" s="195"/>
      <c r="H23" s="195"/>
      <c r="I23" s="195"/>
      <c r="J23" s="196"/>
      <c r="K23" s="189">
        <f>'TU zadajte VSTUPNÉ ÚDAJE'!AI7</f>
        <v>930.00000000000011</v>
      </c>
      <c r="L23" s="189"/>
      <c r="M23" s="189"/>
      <c r="N23" s="189"/>
      <c r="O23" s="189"/>
      <c r="P23" s="195">
        <f t="shared" si="0"/>
        <v>2790.0000000000005</v>
      </c>
      <c r="Q23" s="195"/>
      <c r="R23" s="195"/>
      <c r="S23" s="195"/>
      <c r="T23" s="268"/>
      <c r="U23" s="202">
        <f>'TU zadajte VSTUPNÉ ÚDAJE'!AO7</f>
        <v>1200</v>
      </c>
      <c r="V23" s="202"/>
      <c r="W23" s="203"/>
      <c r="Y23" s="46" t="str">
        <f>'TU zadajte VSTUPNÉ ÚDAJE'!AT7</f>
        <v>A</v>
      </c>
      <c r="Z23" s="30"/>
      <c r="AA23" s="18"/>
      <c r="AB23" s="32"/>
      <c r="AC23" s="32"/>
      <c r="AD23" s="33"/>
      <c r="AE23" s="44"/>
    </row>
    <row r="24" spans="1:31" ht="18.95" customHeight="1" thickTop="1" thickBot="1" x14ac:dyDescent="0.3">
      <c r="A24" s="1"/>
      <c r="B24" s="248"/>
      <c r="C24" s="82"/>
      <c r="D24" s="250">
        <v>24</v>
      </c>
      <c r="E24" s="250"/>
      <c r="F24" s="194">
        <f>K24+'TU zadajte VSTUPNÉ ÚDAJE'!$AO$21</f>
        <v>482.98</v>
      </c>
      <c r="G24" s="195"/>
      <c r="H24" s="195"/>
      <c r="I24" s="195"/>
      <c r="J24" s="196"/>
      <c r="K24" s="189">
        <f>'TU zadajte VSTUPNÉ ÚDAJE'!AI8</f>
        <v>480</v>
      </c>
      <c r="L24" s="189"/>
      <c r="M24" s="189"/>
      <c r="N24" s="189"/>
      <c r="O24" s="189"/>
      <c r="P24" s="195">
        <f t="shared" si="0"/>
        <v>1440</v>
      </c>
      <c r="Q24" s="195"/>
      <c r="R24" s="195"/>
      <c r="S24" s="195"/>
      <c r="T24" s="268"/>
      <c r="U24" s="202">
        <f>'TU zadajte VSTUPNÉ ÚDAJE'!AO8</f>
        <v>1000</v>
      </c>
      <c r="V24" s="202"/>
      <c r="W24" s="203"/>
      <c r="Y24" s="46" t="str">
        <f>'TU zadajte VSTUPNÉ ÚDAJE'!AT8</f>
        <v>A</v>
      </c>
      <c r="Z24" s="30"/>
      <c r="AA24" s="18"/>
      <c r="AB24" s="32"/>
      <c r="AC24" s="32"/>
      <c r="AD24" s="33"/>
      <c r="AE24" s="44"/>
    </row>
    <row r="25" spans="1:31" ht="18.95" customHeight="1" thickTop="1" thickBot="1" x14ac:dyDescent="0.3">
      <c r="A25" s="1"/>
      <c r="B25" s="248"/>
      <c r="C25" s="82"/>
      <c r="D25" s="250">
        <v>36</v>
      </c>
      <c r="E25" s="250"/>
      <c r="F25" s="194">
        <f>K25+'TU zadajte VSTUPNÉ ÚDAJE'!$AO$21</f>
        <v>327.98</v>
      </c>
      <c r="G25" s="195"/>
      <c r="H25" s="195"/>
      <c r="I25" s="195"/>
      <c r="J25" s="196"/>
      <c r="K25" s="189">
        <f>'TU zadajte VSTUPNÉ ÚDAJE'!AI9</f>
        <v>325</v>
      </c>
      <c r="L25" s="189"/>
      <c r="M25" s="189"/>
      <c r="N25" s="189"/>
      <c r="O25" s="189"/>
      <c r="P25" s="195">
        <f t="shared" si="0"/>
        <v>975</v>
      </c>
      <c r="Q25" s="195"/>
      <c r="R25" s="195"/>
      <c r="S25" s="195"/>
      <c r="T25" s="268"/>
      <c r="U25" s="202">
        <f>'TU zadajte VSTUPNÉ ÚDAJE'!AO9</f>
        <v>800</v>
      </c>
      <c r="V25" s="202"/>
      <c r="W25" s="203"/>
      <c r="Y25" s="46" t="str">
        <f>'TU zadajte VSTUPNÉ ÚDAJE'!AT9</f>
        <v>A</v>
      </c>
      <c r="Z25" s="30"/>
      <c r="AA25" s="18"/>
      <c r="AB25" s="32"/>
      <c r="AC25" s="32"/>
      <c r="AD25" s="33"/>
      <c r="AE25" s="44"/>
    </row>
    <row r="26" spans="1:31" ht="18.95" customHeight="1" thickTop="1" thickBot="1" x14ac:dyDescent="0.3">
      <c r="A26" s="1"/>
      <c r="B26" s="248"/>
      <c r="C26" s="82"/>
      <c r="D26" s="250">
        <v>48</v>
      </c>
      <c r="E26" s="250"/>
      <c r="F26" s="194">
        <f>K26+'TU zadajte VSTUPNÉ ÚDAJE'!$AO$21</f>
        <v>262.98</v>
      </c>
      <c r="G26" s="195"/>
      <c r="H26" s="195"/>
      <c r="I26" s="195"/>
      <c r="J26" s="196"/>
      <c r="K26" s="189">
        <f>'TU zadajte VSTUPNÉ ÚDAJE'!AI10</f>
        <v>260</v>
      </c>
      <c r="L26" s="189"/>
      <c r="M26" s="189"/>
      <c r="N26" s="189"/>
      <c r="O26" s="189"/>
      <c r="P26" s="195">
        <f t="shared" si="0"/>
        <v>780</v>
      </c>
      <c r="Q26" s="195"/>
      <c r="R26" s="195"/>
      <c r="S26" s="195"/>
      <c r="T26" s="268"/>
      <c r="U26" s="202">
        <f>'TU zadajte VSTUPNÉ ÚDAJE'!AO10</f>
        <v>600</v>
      </c>
      <c r="V26" s="202"/>
      <c r="W26" s="203"/>
      <c r="Y26" s="46" t="str">
        <f>'TU zadajte VSTUPNÉ ÚDAJE'!AT10</f>
        <v>A</v>
      </c>
      <c r="Z26" s="30"/>
      <c r="AA26" s="18"/>
      <c r="AB26" s="32"/>
      <c r="AC26" s="32"/>
      <c r="AD26" s="33"/>
      <c r="AE26" s="44"/>
    </row>
    <row r="27" spans="1:31" ht="18.95" customHeight="1" thickTop="1" thickBot="1" x14ac:dyDescent="0.3">
      <c r="A27" s="1"/>
      <c r="B27" s="248"/>
      <c r="C27" s="82"/>
      <c r="D27" s="250">
        <v>60</v>
      </c>
      <c r="E27" s="250"/>
      <c r="F27" s="194">
        <f>K27+'TU zadajte VSTUPNÉ ÚDAJE'!$AO$21</f>
        <v>222.98000000000002</v>
      </c>
      <c r="G27" s="195"/>
      <c r="H27" s="195"/>
      <c r="I27" s="195"/>
      <c r="J27" s="196"/>
      <c r="K27" s="189">
        <f>'TU zadajte VSTUPNÉ ÚDAJE'!AI11</f>
        <v>220.00000000000003</v>
      </c>
      <c r="L27" s="189"/>
      <c r="M27" s="189"/>
      <c r="N27" s="189"/>
      <c r="O27" s="189"/>
      <c r="P27" s="195">
        <f t="shared" si="0"/>
        <v>660.00000000000011</v>
      </c>
      <c r="Q27" s="195"/>
      <c r="R27" s="195"/>
      <c r="S27" s="195"/>
      <c r="T27" s="268"/>
      <c r="U27" s="202">
        <f>'TU zadajte VSTUPNÉ ÚDAJE'!AO11</f>
        <v>500</v>
      </c>
      <c r="V27" s="202"/>
      <c r="W27" s="203"/>
      <c r="Y27" s="46" t="str">
        <f>'TU zadajte VSTUPNÉ ÚDAJE'!AT11</f>
        <v>A</v>
      </c>
      <c r="Z27" s="30"/>
      <c r="AA27" s="18"/>
      <c r="AB27" s="32"/>
      <c r="AC27" s="32"/>
      <c r="AD27" s="33"/>
      <c r="AE27" s="44"/>
    </row>
    <row r="28" spans="1:31" ht="18.95" customHeight="1" thickTop="1" thickBot="1" x14ac:dyDescent="0.3">
      <c r="A28" s="1"/>
      <c r="B28" s="249"/>
      <c r="C28" s="83"/>
      <c r="D28" s="264">
        <v>72</v>
      </c>
      <c r="E28" s="264"/>
      <c r="F28" s="251">
        <f>K28+'TU zadajte VSTUPNÉ ÚDAJE'!$AO$21</f>
        <v>192.98</v>
      </c>
      <c r="G28" s="252"/>
      <c r="H28" s="252"/>
      <c r="I28" s="252"/>
      <c r="J28" s="253"/>
      <c r="K28" s="254">
        <f>'TU zadajte VSTUPNÉ ÚDAJE'!AI12</f>
        <v>190</v>
      </c>
      <c r="L28" s="254"/>
      <c r="M28" s="254"/>
      <c r="N28" s="254"/>
      <c r="O28" s="254"/>
      <c r="P28" s="252">
        <f t="shared" si="0"/>
        <v>570</v>
      </c>
      <c r="Q28" s="252"/>
      <c r="R28" s="252"/>
      <c r="S28" s="252"/>
      <c r="T28" s="267"/>
      <c r="U28" s="265">
        <f>'TU zadajte VSTUPNÉ ÚDAJE'!AO12</f>
        <v>400</v>
      </c>
      <c r="V28" s="265"/>
      <c r="W28" s="266"/>
      <c r="Y28" s="46" t="str">
        <f>'TU zadajte VSTUPNÉ ÚDAJE'!AT12</f>
        <v>A</v>
      </c>
      <c r="Z28" s="30"/>
      <c r="AA28" s="18"/>
      <c r="AB28" s="21"/>
      <c r="AC28" s="21"/>
      <c r="AD28" s="20"/>
      <c r="AE28" s="44"/>
    </row>
    <row r="29" spans="1:31" ht="14.45" customHeight="1" x14ac:dyDescent="0.25">
      <c r="A29" s="1"/>
      <c r="B29" s="269" t="s">
        <v>81</v>
      </c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Z29" s="18"/>
      <c r="AA29" s="18"/>
      <c r="AB29" s="18"/>
      <c r="AC29" s="18"/>
    </row>
    <row r="30" spans="1:31" ht="18" customHeight="1" x14ac:dyDescent="0.25">
      <c r="A30" s="1"/>
      <c r="B30" s="270" t="s">
        <v>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</row>
    <row r="31" spans="1:31" ht="7.5" customHeight="1" x14ac:dyDescent="0.25">
      <c r="A31" s="1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</row>
    <row r="32" spans="1:31" x14ac:dyDescent="0.25">
      <c r="A32" s="1"/>
      <c r="B32" s="300" t="s">
        <v>95</v>
      </c>
      <c r="C32" s="300"/>
      <c r="D32" s="300"/>
      <c r="E32" s="300"/>
      <c r="F32" s="300"/>
      <c r="G32" s="300"/>
      <c r="H32" s="300"/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0"/>
    </row>
    <row r="33" spans="1:27" ht="12" customHeight="1" x14ac:dyDescent="0.25">
      <c r="A33" s="1"/>
      <c r="B33" s="301" t="s">
        <v>26</v>
      </c>
      <c r="C33" s="302"/>
      <c r="D33" s="302"/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255" t="s">
        <v>22</v>
      </c>
      <c r="U33" s="256"/>
      <c r="V33" s="256"/>
      <c r="W33" s="257"/>
    </row>
    <row r="34" spans="1:27" ht="12" customHeight="1" x14ac:dyDescent="0.25">
      <c r="A34" s="1"/>
      <c r="B34" s="303"/>
      <c r="C34" s="304"/>
      <c r="D34" s="304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258" t="s">
        <v>40</v>
      </c>
      <c r="U34" s="259"/>
      <c r="V34" s="259"/>
      <c r="W34" s="260"/>
    </row>
    <row r="35" spans="1:27" ht="12.75" customHeight="1" x14ac:dyDescent="0.25">
      <c r="A35" s="1"/>
      <c r="B35" s="261" t="s">
        <v>23</v>
      </c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2"/>
      <c r="T35" s="263">
        <f>1.5%*1.1/12</f>
        <v>1.3750000000000001E-3</v>
      </c>
      <c r="U35" s="263"/>
      <c r="V35" s="263"/>
      <c r="W35" s="263"/>
    </row>
    <row r="36" spans="1:27" ht="12.75" customHeight="1" x14ac:dyDescent="0.25">
      <c r="A36" s="1"/>
      <c r="B36" s="261" t="s">
        <v>25</v>
      </c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1"/>
      <c r="S36" s="262"/>
      <c r="T36" s="263">
        <f>3%*1.1/12</f>
        <v>2.7500000000000003E-3</v>
      </c>
      <c r="U36" s="263"/>
      <c r="V36" s="263"/>
      <c r="W36" s="263"/>
    </row>
    <row r="37" spans="1:27" ht="12.75" customHeight="1" x14ac:dyDescent="0.25">
      <c r="A37" s="1"/>
      <c r="B37" s="294" t="s">
        <v>24</v>
      </c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6"/>
      <c r="T37" s="297">
        <f>4%*1.1/12</f>
        <v>3.666666666666667E-3</v>
      </c>
      <c r="U37" s="298"/>
      <c r="V37" s="298"/>
      <c r="W37" s="299"/>
    </row>
    <row r="38" spans="1:27" ht="19.5" customHeight="1" x14ac:dyDescent="0.25">
      <c r="A38" s="1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</row>
    <row r="39" spans="1:27" ht="15.6" customHeight="1" x14ac:dyDescent="0.25">
      <c r="A39" s="1"/>
      <c r="B39" s="273" t="s">
        <v>83</v>
      </c>
      <c r="C39" s="274"/>
      <c r="D39" s="274"/>
      <c r="E39" s="274"/>
      <c r="F39" s="274"/>
      <c r="G39" s="275"/>
      <c r="H39" s="279" t="str">
        <f>"táto podpísaná kalkulácia s vyznačenou dobou leasingu a periodicitou platby ● kópia OP štatutára(ov)"</f>
        <v>táto podpísaná kalkulácia s vyznačenou dobou leasingu a periodicitou platby ● kópia OP štatutára(ov)</v>
      </c>
      <c r="I39" s="280"/>
      <c r="J39" s="280"/>
      <c r="K39" s="280"/>
      <c r="L39" s="280"/>
      <c r="M39" s="280"/>
      <c r="N39" s="280"/>
      <c r="O39" s="280"/>
      <c r="P39" s="280"/>
      <c r="Q39" s="280"/>
      <c r="R39" s="280"/>
      <c r="S39" s="280"/>
      <c r="T39" s="280"/>
      <c r="U39" s="280"/>
      <c r="V39" s="280"/>
      <c r="W39" s="281"/>
    </row>
    <row r="40" spans="1:27" x14ac:dyDescent="0.25">
      <c r="A40" s="1"/>
      <c r="B40" s="276"/>
      <c r="C40" s="277"/>
      <c r="D40" s="277"/>
      <c r="E40" s="277"/>
      <c r="F40" s="277"/>
      <c r="G40" s="278"/>
      <c r="H40" s="282" t="str">
        <f>IF(T9&gt;7500,"cenová ponuka na predmet leasingu (od dodávateľa) ● ŽIVNOSTNÍCI - účtovné závierky za 2 posledné roky","cenová ponuka na predmet leasingu (od dodávateľa)")</f>
        <v>cenová ponuka na predmet leasingu (od dodávateľa) ● ŽIVNOSTNÍCI - účtovné závierky za 2 posledné roky</v>
      </c>
      <c r="I40" s="283"/>
      <c r="J40" s="283"/>
      <c r="K40" s="283"/>
      <c r="L40" s="283"/>
      <c r="M40" s="283"/>
      <c r="N40" s="283"/>
      <c r="O40" s="283"/>
      <c r="P40" s="283"/>
      <c r="Q40" s="283"/>
      <c r="R40" s="283"/>
      <c r="S40" s="283"/>
      <c r="T40" s="283"/>
      <c r="U40" s="283"/>
      <c r="V40" s="283"/>
      <c r="W40" s="284"/>
      <c r="AA40" s="7"/>
    </row>
    <row r="41" spans="1:27" ht="27" customHeight="1" x14ac:dyDescent="0.25">
      <c r="A41" s="1"/>
      <c r="B41" s="285" t="s">
        <v>84</v>
      </c>
      <c r="C41" s="285"/>
      <c r="D41" s="285"/>
      <c r="E41" s="285"/>
      <c r="F41" s="285"/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1"/>
      <c r="Y41" s="17"/>
    </row>
    <row r="42" spans="1:27" ht="21.75" customHeight="1" x14ac:dyDescent="0.25">
      <c r="A42" s="1"/>
      <c r="B42" s="286" t="s">
        <v>35</v>
      </c>
      <c r="C42" s="286"/>
      <c r="D42" s="286"/>
      <c r="E42" s="286"/>
      <c r="F42" s="286"/>
      <c r="G42" s="286"/>
      <c r="H42" s="286"/>
      <c r="I42" s="286"/>
      <c r="J42" s="286"/>
      <c r="K42" s="286"/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1"/>
      <c r="Y42" s="17"/>
    </row>
    <row r="43" spans="1:27" ht="8.25" customHeight="1" thickBot="1" x14ac:dyDescent="0.3">
      <c r="A43" s="1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"/>
      <c r="Y43" s="17"/>
    </row>
    <row r="44" spans="1:27" ht="12.75" customHeight="1" x14ac:dyDescent="0.25">
      <c r="A44" s="1"/>
      <c r="B44" s="287" t="s">
        <v>36</v>
      </c>
      <c r="C44" s="288"/>
      <c r="D44" s="288"/>
      <c r="E44" s="288"/>
      <c r="F44" s="288"/>
      <c r="G44" s="288"/>
      <c r="H44" s="288"/>
      <c r="I44" s="288"/>
      <c r="J44" s="288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5"/>
      <c r="X44" s="1"/>
      <c r="Y44" s="17"/>
    </row>
    <row r="45" spans="1:27" ht="12.75" customHeight="1" x14ac:dyDescent="0.25">
      <c r="A45" s="1"/>
      <c r="B45" s="289"/>
      <c r="C45" s="290"/>
      <c r="D45" s="290"/>
      <c r="E45" s="290"/>
      <c r="F45" s="290"/>
      <c r="G45" s="290"/>
      <c r="H45" s="290"/>
      <c r="I45" s="290"/>
      <c r="J45" s="290"/>
      <c r="K45" s="185"/>
      <c r="L45" s="185"/>
      <c r="M45" s="185"/>
      <c r="N45" s="185"/>
      <c r="O45" s="185"/>
      <c r="P45" s="185"/>
      <c r="Q45" s="185"/>
      <c r="R45" s="3"/>
      <c r="S45" s="3"/>
      <c r="T45" s="3"/>
      <c r="U45" s="3"/>
      <c r="V45" s="3"/>
      <c r="W45" s="86"/>
      <c r="X45" s="1"/>
      <c r="Y45" s="17"/>
    </row>
    <row r="46" spans="1:27" ht="12.75" customHeight="1" x14ac:dyDescent="0.25">
      <c r="A46" s="1"/>
      <c r="B46" s="289"/>
      <c r="C46" s="290"/>
      <c r="D46" s="290"/>
      <c r="E46" s="290"/>
      <c r="F46" s="290"/>
      <c r="G46" s="290"/>
      <c r="H46" s="290"/>
      <c r="I46" s="290"/>
      <c r="J46" s="290"/>
      <c r="K46" s="185"/>
      <c r="L46" s="185"/>
      <c r="M46" s="185"/>
      <c r="N46" s="185"/>
      <c r="O46" s="185"/>
      <c r="P46" s="185"/>
      <c r="Q46" s="185"/>
      <c r="R46" s="5"/>
      <c r="S46" s="5"/>
      <c r="T46" s="5"/>
      <c r="U46" s="5"/>
      <c r="V46" s="5"/>
      <c r="W46" s="86"/>
      <c r="X46" s="1"/>
      <c r="Y46" s="17"/>
    </row>
    <row r="47" spans="1:27" ht="12.75" customHeight="1" thickBot="1" x14ac:dyDescent="0.3">
      <c r="A47" s="1"/>
      <c r="B47" s="291"/>
      <c r="C47" s="292"/>
      <c r="D47" s="292"/>
      <c r="E47" s="292"/>
      <c r="F47" s="292"/>
      <c r="G47" s="292"/>
      <c r="H47" s="292"/>
      <c r="I47" s="292"/>
      <c r="J47" s="292"/>
      <c r="K47" s="87"/>
      <c r="L47" s="293" t="s">
        <v>20</v>
      </c>
      <c r="M47" s="293"/>
      <c r="N47" s="293"/>
      <c r="O47" s="293"/>
      <c r="P47" s="293"/>
      <c r="Q47" s="88"/>
      <c r="R47" s="293" t="s">
        <v>21</v>
      </c>
      <c r="S47" s="293"/>
      <c r="T47" s="293"/>
      <c r="U47" s="293"/>
      <c r="V47" s="293"/>
      <c r="W47" s="89"/>
      <c r="X47" s="1"/>
      <c r="Y47" s="17"/>
    </row>
    <row r="48" spans="1:27" ht="18" customHeight="1" x14ac:dyDescent="0.25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1"/>
      <c r="Y48" s="17"/>
    </row>
    <row r="49" spans="1:25" x14ac:dyDescent="0.25">
      <c r="A49" s="1"/>
      <c r="B49" s="271" t="s">
        <v>29</v>
      </c>
      <c r="C49" s="271"/>
      <c r="D49" s="271"/>
      <c r="E49" s="271"/>
      <c r="F49" s="271"/>
      <c r="G49" s="271"/>
      <c r="H49" s="271"/>
      <c r="I49" s="271"/>
      <c r="J49" s="271"/>
      <c r="K49" s="271"/>
      <c r="L49" s="271"/>
      <c r="M49" s="271"/>
      <c r="N49" s="271"/>
      <c r="O49" s="271"/>
      <c r="P49" s="271"/>
      <c r="Q49" s="271"/>
      <c r="R49" s="271"/>
      <c r="S49" s="271"/>
      <c r="T49" s="271"/>
      <c r="U49" s="271"/>
      <c r="V49" s="271"/>
      <c r="W49" s="271"/>
      <c r="X49" s="1"/>
      <c r="Y49" s="17"/>
    </row>
    <row r="50" spans="1:2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</sheetData>
  <sheetProtection algorithmName="SHA-512" hashValue="5zTDClBaKtQimEirRKqAxo/RUVtpeR2ompr78UHgEeBtnQg3pffZUhDr/C1kp1ME41vNssA5jcstMnWXpq5TCg==" saltValue="hMdvQN9YHQAxYJ3xBpIDxQ==" spinCount="100000" sheet="1" selectLockedCells="1"/>
  <mergeCells count="92">
    <mergeCell ref="B29:W29"/>
    <mergeCell ref="B30:W30"/>
    <mergeCell ref="B49:W49"/>
    <mergeCell ref="B1:W1"/>
    <mergeCell ref="B39:G40"/>
    <mergeCell ref="H39:W39"/>
    <mergeCell ref="H40:W40"/>
    <mergeCell ref="B41:W41"/>
    <mergeCell ref="B42:W42"/>
    <mergeCell ref="B44:J47"/>
    <mergeCell ref="L47:P47"/>
    <mergeCell ref="R47:V47"/>
    <mergeCell ref="B37:S37"/>
    <mergeCell ref="T37:W37"/>
    <mergeCell ref="B32:W32"/>
    <mergeCell ref="B33:S34"/>
    <mergeCell ref="U27:W27"/>
    <mergeCell ref="D27:E27"/>
    <mergeCell ref="D28:E28"/>
    <mergeCell ref="U28:W28"/>
    <mergeCell ref="D22:E22"/>
    <mergeCell ref="U22:W22"/>
    <mergeCell ref="U25:W25"/>
    <mergeCell ref="U24:W24"/>
    <mergeCell ref="U26:W26"/>
    <mergeCell ref="P28:T28"/>
    <mergeCell ref="P27:T27"/>
    <mergeCell ref="P22:T22"/>
    <mergeCell ref="P23:T23"/>
    <mergeCell ref="P24:T24"/>
    <mergeCell ref="P25:T25"/>
    <mergeCell ref="P26:T26"/>
    <mergeCell ref="T33:W33"/>
    <mergeCell ref="T34:W34"/>
    <mergeCell ref="B35:S35"/>
    <mergeCell ref="T35:W35"/>
    <mergeCell ref="B36:S36"/>
    <mergeCell ref="T36:W36"/>
    <mergeCell ref="D21:E21"/>
    <mergeCell ref="K21:O21"/>
    <mergeCell ref="K22:O22"/>
    <mergeCell ref="B20:E20"/>
    <mergeCell ref="B21:B28"/>
    <mergeCell ref="D26:E26"/>
    <mergeCell ref="D24:E24"/>
    <mergeCell ref="D23:E23"/>
    <mergeCell ref="D25:E25"/>
    <mergeCell ref="F28:J28"/>
    <mergeCell ref="K28:O28"/>
    <mergeCell ref="K24:O24"/>
    <mergeCell ref="K25:O25"/>
    <mergeCell ref="K26:O26"/>
    <mergeCell ref="K27:O27"/>
    <mergeCell ref="V15:W15"/>
    <mergeCell ref="B17:E17"/>
    <mergeCell ref="F17:T17"/>
    <mergeCell ref="U17:W20"/>
    <mergeCell ref="B18:E18"/>
    <mergeCell ref="G18:J18"/>
    <mergeCell ref="B19:E19"/>
    <mergeCell ref="L18:S18"/>
    <mergeCell ref="F19:J19"/>
    <mergeCell ref="F20:J20"/>
    <mergeCell ref="K19:T19"/>
    <mergeCell ref="K20:O20"/>
    <mergeCell ref="P20:T20"/>
    <mergeCell ref="F8:O8"/>
    <mergeCell ref="T8:V8"/>
    <mergeCell ref="F9:O9"/>
    <mergeCell ref="T9:V9"/>
    <mergeCell ref="R2:W5"/>
    <mergeCell ref="F10:O10"/>
    <mergeCell ref="F11:H11"/>
    <mergeCell ref="K11:N11"/>
    <mergeCell ref="S10:T11"/>
    <mergeCell ref="U10:W11"/>
    <mergeCell ref="K45:Q46"/>
    <mergeCell ref="F12:H12"/>
    <mergeCell ref="P12:W12"/>
    <mergeCell ref="K23:O23"/>
    <mergeCell ref="F21:J21"/>
    <mergeCell ref="P21:T21"/>
    <mergeCell ref="F22:J22"/>
    <mergeCell ref="F23:J23"/>
    <mergeCell ref="U21:W21"/>
    <mergeCell ref="H14:J14"/>
    <mergeCell ref="U23:W23"/>
    <mergeCell ref="V14:W14"/>
    <mergeCell ref="F24:J24"/>
    <mergeCell ref="F25:J25"/>
    <mergeCell ref="F26:J26"/>
    <mergeCell ref="F27:J27"/>
  </mergeCells>
  <conditionalFormatting sqref="D21:E28">
    <cfRule type="expression" dxfId="11" priority="10">
      <formula>$Z21="N"</formula>
    </cfRule>
  </conditionalFormatting>
  <conditionalFormatting sqref="F21:W21">
    <cfRule type="expression" dxfId="10" priority="8">
      <formula>$Y$21="N"</formula>
    </cfRule>
  </conditionalFormatting>
  <conditionalFormatting sqref="F22:W22">
    <cfRule type="expression" dxfId="9" priority="7">
      <formula>$Y$22="N"</formula>
    </cfRule>
  </conditionalFormatting>
  <conditionalFormatting sqref="F23:W23">
    <cfRule type="expression" dxfId="8" priority="6">
      <formula>$Y$23="N"</formula>
    </cfRule>
  </conditionalFormatting>
  <conditionalFormatting sqref="F24:W24">
    <cfRule type="expression" dxfId="7" priority="5">
      <formula>$Y$24="N"</formula>
    </cfRule>
  </conditionalFormatting>
  <conditionalFormatting sqref="F25:W25">
    <cfRule type="expression" dxfId="6" priority="4">
      <formula>$Y$25="N"</formula>
    </cfRule>
  </conditionalFormatting>
  <conditionalFormatting sqref="F26:W26">
    <cfRule type="expression" dxfId="5" priority="3">
      <formula>$Y$26="N"</formula>
    </cfRule>
  </conditionalFormatting>
  <conditionalFormatting sqref="F27:W27">
    <cfRule type="expression" dxfId="4" priority="2">
      <formula>$Y$27="N"</formula>
    </cfRule>
  </conditionalFormatting>
  <conditionalFormatting sqref="F28:W28">
    <cfRule type="expression" dxfId="3" priority="1">
      <formula>$Y$28="N"</formula>
    </cfRule>
  </conditionalFormatting>
  <conditionalFormatting sqref="V15:W15">
    <cfRule type="cellIs" dxfId="2" priority="34" operator="equal">
      <formula>0</formula>
    </cfRule>
  </conditionalFormatting>
  <dataValidations count="2">
    <dataValidation type="list" allowBlank="1" showInputMessage="1" showErrorMessage="1" sqref="C21:C28" xr:uid="{00000000-0002-0000-0000-000000000000}">
      <formula1>$Z$18:$Z$19</formula1>
    </dataValidation>
    <dataValidation type="list" showInputMessage="1" showErrorMessage="1" sqref="F18 K18" xr:uid="{00000000-0002-0000-0000-000001000000}">
      <formula1>$Z$18:$Z$19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zoomScale="130" zoomScaleNormal="130" workbookViewId="0"/>
  </sheetViews>
  <sheetFormatPr defaultRowHeight="15" x14ac:dyDescent="0.25"/>
  <cols>
    <col min="1" max="1" width="9" style="40" customWidth="1"/>
    <col min="2" max="16384" width="9.140625" style="38"/>
  </cols>
  <sheetData>
    <row r="1" spans="1:1" x14ac:dyDescent="0.25">
      <c r="A1" s="41"/>
    </row>
    <row r="2" spans="1:1" x14ac:dyDescent="0.25">
      <c r="A2" s="42"/>
    </row>
    <row r="3" spans="1:1" x14ac:dyDescent="0.25">
      <c r="A3" s="41"/>
    </row>
    <row r="4" spans="1:1" x14ac:dyDescent="0.25">
      <c r="A4" s="41"/>
    </row>
    <row r="5" spans="1:1" x14ac:dyDescent="0.25">
      <c r="A5" s="41"/>
    </row>
    <row r="6" spans="1:1" x14ac:dyDescent="0.25">
      <c r="A6" s="41"/>
    </row>
    <row r="7" spans="1:1" x14ac:dyDescent="0.25">
      <c r="A7" s="39"/>
    </row>
    <row r="8" spans="1:1" x14ac:dyDescent="0.25">
      <c r="A8" s="39"/>
    </row>
    <row r="9" spans="1:1" x14ac:dyDescent="0.25">
      <c r="A9" s="39"/>
    </row>
    <row r="10" spans="1:1" x14ac:dyDescent="0.25">
      <c r="A10" s="39"/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BG65"/>
  <sheetViews>
    <sheetView tabSelected="1" zoomScale="145" zoomScaleNormal="145" workbookViewId="0">
      <selection activeCell="F12" sqref="F12"/>
    </sheetView>
  </sheetViews>
  <sheetFormatPr defaultColWidth="8.85546875" defaultRowHeight="15" x14ac:dyDescent="0.25"/>
  <cols>
    <col min="1" max="1" width="2.7109375" style="90" customWidth="1"/>
    <col min="2" max="2" width="10.5703125" style="91" customWidth="1"/>
    <col min="3" max="3" width="8.85546875" style="90"/>
    <col min="4" max="4" width="8.85546875" style="90" customWidth="1"/>
    <col min="5" max="5" width="3.140625" style="90" customWidth="1"/>
    <col min="6" max="6" width="13.140625" style="90" customWidth="1"/>
    <col min="7" max="7" width="16" style="90" bestFit="1" customWidth="1"/>
    <col min="8" max="9" width="8.85546875" style="90"/>
    <col min="10" max="10" width="3.42578125" style="90" customWidth="1"/>
    <col min="11" max="11" width="2.5703125" style="90" customWidth="1"/>
    <col min="12" max="26" width="4.5703125" style="90" customWidth="1"/>
    <col min="27" max="27" width="2" style="90" customWidth="1"/>
    <col min="28" max="28" width="5.7109375" style="93" hidden="1" customWidth="1"/>
    <col min="29" max="33" width="6.7109375" style="93" hidden="1" customWidth="1"/>
    <col min="34" max="34" width="2.85546875" style="93" hidden="1" customWidth="1"/>
    <col min="35" max="36" width="8.7109375" style="93" hidden="1" customWidth="1"/>
    <col min="37" max="39" width="7.7109375" style="93" hidden="1" customWidth="1"/>
    <col min="40" max="40" width="5.7109375" style="93" hidden="1" customWidth="1"/>
    <col min="41" max="41" width="8.7109375" style="93" hidden="1" customWidth="1"/>
    <col min="42" max="42" width="9" style="93" hidden="1" customWidth="1"/>
    <col min="43" max="43" width="8.7109375" style="93" hidden="1" customWidth="1"/>
    <col min="44" max="44" width="6.7109375" style="93" hidden="1" customWidth="1"/>
    <col min="45" max="45" width="6.7109375" style="96" hidden="1" customWidth="1"/>
    <col min="46" max="46" width="5.140625" style="93" hidden="1" customWidth="1"/>
    <col min="47" max="47" width="4" style="93" customWidth="1"/>
    <col min="48" max="48" width="5.28515625" style="93" customWidth="1"/>
    <col min="49" max="56" width="6.7109375" style="111" customWidth="1"/>
    <col min="57" max="59" width="6.7109375" style="93" customWidth="1"/>
    <col min="60" max="16384" width="8.85546875" style="93"/>
  </cols>
  <sheetData>
    <row r="1" spans="1:59" x14ac:dyDescent="0.25">
      <c r="AB1" s="92"/>
      <c r="AE1" s="94"/>
      <c r="AJ1" s="95" t="s">
        <v>75</v>
      </c>
      <c r="AK1" s="95" t="s">
        <v>67</v>
      </c>
      <c r="AW1" s="93"/>
      <c r="AX1" s="93"/>
      <c r="AY1" s="93"/>
      <c r="AZ1" s="93"/>
      <c r="BA1" s="93"/>
      <c r="BB1" s="93"/>
      <c r="BC1" s="93"/>
      <c r="BD1" s="93"/>
    </row>
    <row r="2" spans="1:59" ht="17.45" customHeight="1" x14ac:dyDescent="0.25">
      <c r="B2" s="309" t="str">
        <f>"Vstupné údaje pre leasingovú kalkuláciu od 500 € do "&amp;AO19/1000&amp;".000 €"</f>
        <v>Vstupné údaje pre leasingovú kalkuláciu od 500 € do 45.000 €</v>
      </c>
      <c r="C2" s="309"/>
      <c r="D2" s="309"/>
      <c r="E2" s="309"/>
      <c r="F2" s="309"/>
      <c r="G2" s="309"/>
      <c r="H2" s="22"/>
      <c r="I2" s="22"/>
      <c r="J2" s="22"/>
      <c r="AB2" s="97"/>
      <c r="AC2" s="98">
        <v>0</v>
      </c>
      <c r="AD2" s="98">
        <v>1</v>
      </c>
      <c r="AE2" s="98">
        <v>2</v>
      </c>
      <c r="AF2" s="98">
        <v>3</v>
      </c>
      <c r="AG2" s="98">
        <v>4</v>
      </c>
      <c r="AH2" s="98"/>
      <c r="AI2" s="98"/>
      <c r="AJ2" s="99" t="s">
        <v>53</v>
      </c>
      <c r="AK2" s="100" t="s">
        <v>65</v>
      </c>
      <c r="AL2" s="101" t="s">
        <v>2</v>
      </c>
      <c r="AM2" s="99">
        <f>IF(AND(F14&gt;=AC4,F14&lt;=AD4),AD2,IF(F14&lt;=AE4,AE2,IF(F14&lt;=AF4,AF2,IF(F14&lt;=AG4,AG2,IF(F14&lt;=#REF!,#REF!,IF(F14&lt;=#REF!,#REF!,#REF!))))))</f>
        <v>2</v>
      </c>
      <c r="AN2" s="98"/>
      <c r="AO2" s="98"/>
      <c r="AP2" s="102"/>
      <c r="AQ2" s="102"/>
      <c r="AT2" s="99" t="s">
        <v>62</v>
      </c>
      <c r="AW2" s="93"/>
      <c r="AX2" s="93"/>
      <c r="AY2" s="93"/>
      <c r="AZ2" s="93"/>
      <c r="BA2" s="93"/>
      <c r="BB2" s="93"/>
      <c r="BC2" s="93"/>
      <c r="BD2" s="93"/>
    </row>
    <row r="3" spans="1:59" x14ac:dyDescent="0.25">
      <c r="B3" s="310" t="str">
        <f>"(pre sumu vyššiu ako "&amp;AO19/1000&amp;".000 € žiadajte individuálnu kalkuláciu)"</f>
        <v>(pre sumu vyššiu ako 45.000 € žiadajte individuálnu kalkuláciu)</v>
      </c>
      <c r="C3" s="310"/>
      <c r="D3" s="310"/>
      <c r="E3" s="310"/>
      <c r="F3" s="310"/>
      <c r="G3" s="310"/>
      <c r="H3" s="23"/>
      <c r="I3" s="23"/>
      <c r="J3" s="23"/>
      <c r="AB3" s="103"/>
      <c r="AC3" s="104" t="s">
        <v>7</v>
      </c>
      <c r="AD3" s="105">
        <f>AC4</f>
        <v>500</v>
      </c>
      <c r="AE3" s="105">
        <f t="shared" ref="AE3" si="0">AD4</f>
        <v>1000</v>
      </c>
      <c r="AF3" s="105">
        <f>AE4</f>
        <v>10000</v>
      </c>
      <c r="AG3" s="105">
        <f>AF4</f>
        <v>25000</v>
      </c>
      <c r="AH3" s="105"/>
      <c r="AI3" s="106" t="s">
        <v>43</v>
      </c>
      <c r="AJ3" s="99" t="s">
        <v>45</v>
      </c>
      <c r="AK3" s="100" t="s">
        <v>68</v>
      </c>
      <c r="AL3" s="101" t="s">
        <v>0</v>
      </c>
      <c r="AM3" s="101" t="s">
        <v>1</v>
      </c>
      <c r="AN3" s="101" t="s">
        <v>39</v>
      </c>
      <c r="AO3" s="101"/>
      <c r="AP3" s="107" t="s">
        <v>80</v>
      </c>
      <c r="AQ3" s="308" t="s">
        <v>44</v>
      </c>
      <c r="AR3" s="308"/>
      <c r="AS3" s="99" t="s">
        <v>58</v>
      </c>
      <c r="AT3" s="108">
        <v>0.02</v>
      </c>
      <c r="AW3" s="93"/>
      <c r="AX3" s="93"/>
      <c r="AY3" s="93"/>
      <c r="AZ3" s="93"/>
      <c r="BA3" s="93"/>
      <c r="BB3" s="93"/>
      <c r="BC3" s="93"/>
      <c r="BD3" s="93"/>
    </row>
    <row r="4" spans="1:59" x14ac:dyDescent="0.25">
      <c r="B4" s="316" t="s">
        <v>98</v>
      </c>
      <c r="C4" s="316"/>
      <c r="D4" s="316"/>
      <c r="E4" s="316"/>
      <c r="F4" s="316"/>
      <c r="G4" s="316"/>
      <c r="H4" s="35"/>
      <c r="I4" s="35"/>
      <c r="J4" s="35"/>
      <c r="AB4" s="109" t="s">
        <v>8</v>
      </c>
      <c r="AC4" s="105">
        <v>500</v>
      </c>
      <c r="AD4" s="105">
        <v>1000</v>
      </c>
      <c r="AE4" s="105">
        <v>10000</v>
      </c>
      <c r="AF4" s="105">
        <v>25000</v>
      </c>
      <c r="AG4" s="105">
        <v>45000</v>
      </c>
      <c r="AH4" s="105"/>
      <c r="AI4" s="106" t="s">
        <v>44</v>
      </c>
      <c r="AJ4" s="99" t="s">
        <v>54</v>
      </c>
      <c r="AK4" s="100" t="s">
        <v>66</v>
      </c>
      <c r="AL4" s="106">
        <f>HLOOKUP($AM$2,AD2:AG3,2,FALSE)</f>
        <v>1000</v>
      </c>
      <c r="AM4" s="106">
        <f>HLOOKUP($AM$2,AD2:AG4,3,FALSE)</f>
        <v>10000</v>
      </c>
      <c r="AN4" s="101" t="s">
        <v>31</v>
      </c>
      <c r="AO4" s="101" t="s">
        <v>32</v>
      </c>
      <c r="AP4" s="110" t="s">
        <v>51</v>
      </c>
      <c r="AQ4" s="110" t="s">
        <v>52</v>
      </c>
      <c r="AR4" s="110" t="s">
        <v>57</v>
      </c>
      <c r="AS4" s="110" t="s">
        <v>57</v>
      </c>
      <c r="AT4" s="110" t="s">
        <v>61</v>
      </c>
      <c r="AW4" s="93"/>
      <c r="AX4" s="93"/>
      <c r="AY4" s="93"/>
      <c r="AZ4" s="93"/>
      <c r="BA4" s="93"/>
      <c r="BB4" s="93"/>
      <c r="BC4" s="93"/>
      <c r="BD4" s="93"/>
    </row>
    <row r="5" spans="1:59" x14ac:dyDescent="0.25">
      <c r="B5" s="24"/>
      <c r="C5" s="25"/>
      <c r="D5" s="25"/>
      <c r="E5" s="25"/>
      <c r="F5" s="25"/>
      <c r="G5" s="25"/>
      <c r="H5" s="25"/>
      <c r="I5" s="25"/>
      <c r="J5" s="25"/>
      <c r="AB5" s="111">
        <v>6</v>
      </c>
      <c r="AC5" s="112">
        <f>AC17</f>
        <v>18.5</v>
      </c>
      <c r="AD5" s="112">
        <f t="shared" ref="AD5:AG5" si="1">AD17</f>
        <v>18.3</v>
      </c>
      <c r="AE5" s="112">
        <f t="shared" si="1"/>
        <v>18</v>
      </c>
      <c r="AF5" s="112">
        <f t="shared" si="1"/>
        <v>17.7</v>
      </c>
      <c r="AG5" s="112">
        <f t="shared" si="1"/>
        <v>17.600000000000001</v>
      </c>
      <c r="AH5" s="113">
        <f t="shared" ref="AH5:AH12" si="2">AB5</f>
        <v>6</v>
      </c>
      <c r="AI5" s="114">
        <f>$F$14*AJ5%*$AM$18*$AM$19</f>
        <v>1800</v>
      </c>
      <c r="AJ5" s="112">
        <f>ROUND(AK5+AK17,3)</f>
        <v>18</v>
      </c>
      <c r="AK5" s="115">
        <f>AL5-($F$14-$AL$4)/($AM$4-$AL$4)*($AL$5-$AM$5)</f>
        <v>18</v>
      </c>
      <c r="AL5" s="112">
        <f>VLOOKUP(AB5,$AB$2:$AG$12,$AM$2+1,FALSE)</f>
        <v>18.3</v>
      </c>
      <c r="AM5" s="112">
        <f t="shared" ref="AM5:AM12" si="3">VLOOKUP(AB5,$AB$2:$AG$12,$AM$2+2,FALSE)</f>
        <v>18</v>
      </c>
      <c r="AN5" s="116">
        <v>0.14000000000000001</v>
      </c>
      <c r="AO5" s="117">
        <f>$F$11*AN5</f>
        <v>1400.0000000000002</v>
      </c>
      <c r="AP5" s="118">
        <v>5.83</v>
      </c>
      <c r="AQ5" s="119">
        <f t="shared" ref="AQ5:AQ12" si="4">-PV(AP5/100/12,AB5,$F$14*AJ5%,,1)-$F$11+$AM$14-$H$15+$F$13</f>
        <v>700.2976908918281</v>
      </c>
      <c r="AR5" s="120">
        <f>AQ5/$F$11</f>
        <v>7.0029769089182806E-2</v>
      </c>
      <c r="AS5" s="121">
        <f t="shared" ref="AS5:AS12" si="5">(AQ5+AH5*$AO$21)/$F$11</f>
        <v>7.1817769089182804E-2</v>
      </c>
      <c r="AT5" s="122" t="str">
        <f>IF(AR5&lt;$AT$3,"N","A")</f>
        <v>A</v>
      </c>
      <c r="AW5" s="93"/>
      <c r="AX5" s="93"/>
      <c r="AY5" s="93"/>
      <c r="AZ5" s="93"/>
      <c r="BA5" s="93"/>
      <c r="BB5" s="93"/>
      <c r="BC5" s="93"/>
      <c r="BD5" s="93"/>
    </row>
    <row r="6" spans="1:59" x14ac:dyDescent="0.25">
      <c r="B6" s="24" t="s">
        <v>27</v>
      </c>
      <c r="C6" s="25"/>
      <c r="D6" s="25"/>
      <c r="E6" s="25"/>
      <c r="F6" s="36">
        <f ca="1">TODAY()</f>
        <v>45961</v>
      </c>
      <c r="G6" s="26"/>
      <c r="H6" s="26"/>
      <c r="I6" s="26"/>
      <c r="J6" s="25"/>
      <c r="AB6" s="111">
        <v>9</v>
      </c>
      <c r="AC6" s="112">
        <f t="shared" ref="AC6:AG6" si="6">AC18</f>
        <v>13</v>
      </c>
      <c r="AD6" s="112">
        <f t="shared" si="6"/>
        <v>12.7</v>
      </c>
      <c r="AE6" s="112">
        <f t="shared" si="6"/>
        <v>12.4</v>
      </c>
      <c r="AF6" s="112">
        <f t="shared" si="6"/>
        <v>12.2</v>
      </c>
      <c r="AG6" s="112">
        <f t="shared" si="6"/>
        <v>12.1</v>
      </c>
      <c r="AH6" s="113">
        <f t="shared" si="2"/>
        <v>9</v>
      </c>
      <c r="AI6" s="114">
        <f t="shared" ref="AI6:AI12" si="7">$F$14*AJ6%*$AM$18*$AM$19</f>
        <v>1240</v>
      </c>
      <c r="AJ6" s="112">
        <f t="shared" ref="AJ6:AJ12" si="8">ROUND(AK6+AK18,3)</f>
        <v>12.4</v>
      </c>
      <c r="AK6" s="115">
        <f>AL6-($F$14-$AL$4)/($AM$4-$AL$4)*($AL$6-$AM$6)</f>
        <v>12.4</v>
      </c>
      <c r="AL6" s="112">
        <f t="shared" ref="AL6:AL12" si="9">VLOOKUP(AB6,$AB$2:$AG$12,$AM$2+1,FALSE)</f>
        <v>12.7</v>
      </c>
      <c r="AM6" s="112">
        <f t="shared" si="3"/>
        <v>12.4</v>
      </c>
      <c r="AN6" s="116">
        <v>0.13</v>
      </c>
      <c r="AO6" s="117">
        <f t="shared" ref="AO6:AO11" si="10">$F$11*AN6</f>
        <v>1300</v>
      </c>
      <c r="AP6" s="123">
        <f>AP5</f>
        <v>5.83</v>
      </c>
      <c r="AQ6" s="119">
        <f t="shared" si="4"/>
        <v>976.58980349386547</v>
      </c>
      <c r="AR6" s="120">
        <f t="shared" ref="AR6:AR12" si="11">AQ6/$F$11</f>
        <v>9.7658980349386554E-2</v>
      </c>
      <c r="AS6" s="121">
        <f t="shared" si="5"/>
        <v>0.10034098034938656</v>
      </c>
      <c r="AT6" s="122" t="str">
        <f t="shared" ref="AT6:AT12" si="12">IF(AR6&lt;$AT$3,"N","A")</f>
        <v>A</v>
      </c>
      <c r="AW6" s="93"/>
      <c r="AX6" s="93"/>
      <c r="AY6" s="93"/>
      <c r="AZ6" s="93"/>
      <c r="BA6" s="93"/>
      <c r="BB6" s="93"/>
      <c r="BC6" s="93"/>
      <c r="BD6" s="93"/>
    </row>
    <row r="7" spans="1:59" ht="15" customHeight="1" x14ac:dyDescent="0.25">
      <c r="B7" s="24" t="s">
        <v>17</v>
      </c>
      <c r="C7" s="25"/>
      <c r="D7" s="25"/>
      <c r="E7" s="25"/>
      <c r="F7" s="312" t="s">
        <v>90</v>
      </c>
      <c r="G7" s="313"/>
      <c r="H7" s="313"/>
      <c r="I7" s="313"/>
      <c r="J7" s="313"/>
      <c r="AB7" s="111">
        <v>12</v>
      </c>
      <c r="AC7" s="112">
        <f t="shared" ref="AC7:AG7" si="13">AC19</f>
        <v>10</v>
      </c>
      <c r="AD7" s="112">
        <f t="shared" si="13"/>
        <v>9.8000000000000007</v>
      </c>
      <c r="AE7" s="112">
        <f t="shared" si="13"/>
        <v>9.3000000000000007</v>
      </c>
      <c r="AF7" s="112">
        <f t="shared" si="13"/>
        <v>9.1</v>
      </c>
      <c r="AG7" s="112">
        <f t="shared" si="13"/>
        <v>8.9</v>
      </c>
      <c r="AH7" s="113">
        <f t="shared" si="2"/>
        <v>12</v>
      </c>
      <c r="AI7" s="114">
        <f t="shared" si="7"/>
        <v>930.00000000000011</v>
      </c>
      <c r="AJ7" s="112">
        <f t="shared" si="8"/>
        <v>9.3000000000000007</v>
      </c>
      <c r="AK7" s="115">
        <f>AL7-($F$14-$AL$4)/($AM$4-$AL$4)*($AL$7-$AM$7)</f>
        <v>9.3000000000000007</v>
      </c>
      <c r="AL7" s="112">
        <f t="shared" si="9"/>
        <v>9.8000000000000007</v>
      </c>
      <c r="AM7" s="112">
        <f t="shared" si="3"/>
        <v>9.3000000000000007</v>
      </c>
      <c r="AN7" s="116">
        <v>0.12</v>
      </c>
      <c r="AO7" s="117">
        <f t="shared" si="10"/>
        <v>1200</v>
      </c>
      <c r="AP7" s="123">
        <f t="shared" ref="AP7:AP12" si="14">AP6</f>
        <v>5.83</v>
      </c>
      <c r="AQ7" s="119">
        <f t="shared" si="4"/>
        <v>897.96831634876798</v>
      </c>
      <c r="AR7" s="120">
        <f t="shared" si="11"/>
        <v>8.9796831634876798E-2</v>
      </c>
      <c r="AS7" s="121">
        <f t="shared" si="5"/>
        <v>9.3372831634876793E-2</v>
      </c>
      <c r="AT7" s="122" t="str">
        <f t="shared" si="12"/>
        <v>A</v>
      </c>
      <c r="AW7" s="93"/>
      <c r="AX7" s="93"/>
      <c r="AY7" s="93"/>
      <c r="AZ7" s="93"/>
      <c r="BA7" s="93"/>
      <c r="BB7" s="93"/>
      <c r="BC7" s="93"/>
      <c r="BD7" s="93"/>
    </row>
    <row r="8" spans="1:59" s="137" customFormat="1" x14ac:dyDescent="0.25">
      <c r="A8" s="124"/>
      <c r="B8" s="73" t="s">
        <v>18</v>
      </c>
      <c r="C8" s="74"/>
      <c r="D8" s="74"/>
      <c r="E8" s="74"/>
      <c r="F8" s="314" t="s">
        <v>91</v>
      </c>
      <c r="G8" s="314"/>
      <c r="H8" s="314"/>
      <c r="I8" s="314"/>
      <c r="J8" s="31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6">
        <v>24</v>
      </c>
      <c r="AC8" s="127">
        <f t="shared" ref="AC8:AG8" si="15">AC20</f>
        <v>5.2</v>
      </c>
      <c r="AD8" s="127">
        <f t="shared" si="15"/>
        <v>5</v>
      </c>
      <c r="AE8" s="127">
        <f t="shared" si="15"/>
        <v>4.8</v>
      </c>
      <c r="AF8" s="127">
        <f t="shared" si="15"/>
        <v>4.7</v>
      </c>
      <c r="AG8" s="127">
        <f t="shared" si="15"/>
        <v>4.5999999999999996</v>
      </c>
      <c r="AH8" s="128">
        <f t="shared" si="2"/>
        <v>24</v>
      </c>
      <c r="AI8" s="129">
        <f t="shared" si="7"/>
        <v>480</v>
      </c>
      <c r="AJ8" s="127">
        <f t="shared" si="8"/>
        <v>4.8</v>
      </c>
      <c r="AK8" s="130">
        <f>AL8-($F$14-$AL$4)/($AM$4-$AL$4)*($AL$8-$AM$8)</f>
        <v>4.8</v>
      </c>
      <c r="AL8" s="127">
        <f t="shared" si="9"/>
        <v>5</v>
      </c>
      <c r="AM8" s="112">
        <f t="shared" si="3"/>
        <v>4.8</v>
      </c>
      <c r="AN8" s="131">
        <v>0.1</v>
      </c>
      <c r="AO8" s="132">
        <f t="shared" si="10"/>
        <v>1000</v>
      </c>
      <c r="AP8" s="133">
        <f t="shared" si="14"/>
        <v>5.83</v>
      </c>
      <c r="AQ8" s="134">
        <f t="shared" si="4"/>
        <v>931.62437065394261</v>
      </c>
      <c r="AR8" s="135">
        <f t="shared" si="11"/>
        <v>9.316243706539426E-2</v>
      </c>
      <c r="AS8" s="135">
        <f t="shared" si="5"/>
        <v>0.10031443706539425</v>
      </c>
      <c r="AT8" s="136" t="str">
        <f t="shared" si="12"/>
        <v>A</v>
      </c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</row>
    <row r="9" spans="1:59" x14ac:dyDescent="0.25">
      <c r="B9" s="24" t="s">
        <v>42</v>
      </c>
      <c r="C9" s="25"/>
      <c r="D9" s="25"/>
      <c r="E9" s="25"/>
      <c r="F9" s="37">
        <v>12345678</v>
      </c>
      <c r="G9" s="26"/>
      <c r="H9" s="26"/>
      <c r="I9" s="26"/>
      <c r="J9" s="25"/>
      <c r="AB9" s="138">
        <v>36</v>
      </c>
      <c r="AC9" s="112">
        <f t="shared" ref="AC9:AG9" si="16">AC21</f>
        <v>3.85</v>
      </c>
      <c r="AD9" s="112">
        <f t="shared" si="16"/>
        <v>3.6</v>
      </c>
      <c r="AE9" s="112">
        <f t="shared" si="16"/>
        <v>3.25</v>
      </c>
      <c r="AF9" s="112">
        <f t="shared" si="16"/>
        <v>3.2</v>
      </c>
      <c r="AG9" s="112">
        <f t="shared" si="16"/>
        <v>3.15</v>
      </c>
      <c r="AH9" s="113">
        <f t="shared" si="2"/>
        <v>36</v>
      </c>
      <c r="AI9" s="114">
        <f t="shared" si="7"/>
        <v>325</v>
      </c>
      <c r="AJ9" s="112">
        <f t="shared" si="8"/>
        <v>3.25</v>
      </c>
      <c r="AK9" s="115">
        <f>AL9-($F$14-$AL$4)/($AM$4-$AL$4)*($AL$9-$AM$9)</f>
        <v>3.25</v>
      </c>
      <c r="AL9" s="112">
        <f t="shared" si="9"/>
        <v>3.6</v>
      </c>
      <c r="AM9" s="112">
        <f t="shared" si="3"/>
        <v>3.25</v>
      </c>
      <c r="AN9" s="116">
        <v>0.08</v>
      </c>
      <c r="AO9" s="117">
        <f t="shared" si="10"/>
        <v>800</v>
      </c>
      <c r="AP9" s="123">
        <f t="shared" si="14"/>
        <v>5.83</v>
      </c>
      <c r="AQ9" s="119">
        <f>-PV(AP9/100/12,AB9,$F$14*AJ9%,,1)-$F$11+$AM$14-$H$15+$F$13</f>
        <v>792.21071332709653</v>
      </c>
      <c r="AR9" s="120">
        <f t="shared" si="11"/>
        <v>7.9221071332709656E-2</v>
      </c>
      <c r="AS9" s="120">
        <f t="shared" si="5"/>
        <v>8.9949071332709657E-2</v>
      </c>
      <c r="AT9" s="122" t="str">
        <f t="shared" si="12"/>
        <v>A</v>
      </c>
      <c r="AW9" s="93"/>
      <c r="AX9" s="93"/>
      <c r="AY9" s="93"/>
      <c r="AZ9" s="93"/>
      <c r="BA9" s="93"/>
      <c r="BB9" s="93"/>
      <c r="BC9" s="93"/>
      <c r="BD9" s="93"/>
    </row>
    <row r="10" spans="1:59" x14ac:dyDescent="0.25">
      <c r="B10" s="24" t="s">
        <v>30</v>
      </c>
      <c r="C10" s="25"/>
      <c r="D10" s="25"/>
      <c r="E10" s="25"/>
      <c r="F10" s="313" t="s">
        <v>92</v>
      </c>
      <c r="G10" s="313"/>
      <c r="H10" s="313"/>
      <c r="I10" s="313"/>
      <c r="J10" s="313"/>
      <c r="AB10" s="125">
        <v>48</v>
      </c>
      <c r="AC10" s="127">
        <f t="shared" ref="AC10:AG10" si="17">AC22</f>
        <v>3.2</v>
      </c>
      <c r="AD10" s="127">
        <f t="shared" si="17"/>
        <v>2.9</v>
      </c>
      <c r="AE10" s="127">
        <f t="shared" si="17"/>
        <v>2.6</v>
      </c>
      <c r="AF10" s="127">
        <f t="shared" si="17"/>
        <v>2.5</v>
      </c>
      <c r="AG10" s="127">
        <f t="shared" si="17"/>
        <v>2.4500000000000002</v>
      </c>
      <c r="AH10" s="128">
        <f t="shared" si="2"/>
        <v>48</v>
      </c>
      <c r="AI10" s="129">
        <f t="shared" si="7"/>
        <v>260</v>
      </c>
      <c r="AJ10" s="127">
        <f t="shared" si="8"/>
        <v>2.6</v>
      </c>
      <c r="AK10" s="130">
        <f>AL10-($F$14-$AL$4)/($AM$4-$AL$4)*($AL$10-$AM$10)</f>
        <v>2.6</v>
      </c>
      <c r="AL10" s="127">
        <f t="shared" si="9"/>
        <v>2.9</v>
      </c>
      <c r="AM10" s="112">
        <f t="shared" si="3"/>
        <v>2.6</v>
      </c>
      <c r="AN10" s="131">
        <v>0.06</v>
      </c>
      <c r="AO10" s="132">
        <f t="shared" si="10"/>
        <v>600</v>
      </c>
      <c r="AP10" s="133">
        <f t="shared" si="14"/>
        <v>5.83</v>
      </c>
      <c r="AQ10" s="134">
        <f t="shared" si="4"/>
        <v>1191.6740100852785</v>
      </c>
      <c r="AR10" s="135">
        <f t="shared" si="11"/>
        <v>0.11916740100852785</v>
      </c>
      <c r="AS10" s="135">
        <f t="shared" si="5"/>
        <v>0.13347140100852783</v>
      </c>
      <c r="AT10" s="136" t="str">
        <f t="shared" si="12"/>
        <v>A</v>
      </c>
      <c r="AW10" s="93"/>
      <c r="AX10" s="93"/>
      <c r="AY10" s="93"/>
      <c r="AZ10" s="93"/>
      <c r="BA10" s="93"/>
      <c r="BB10" s="93"/>
      <c r="BC10" s="93"/>
      <c r="BD10" s="93"/>
    </row>
    <row r="11" spans="1:59" x14ac:dyDescent="0.25">
      <c r="B11" s="315" t="s">
        <v>60</v>
      </c>
      <c r="C11" s="315"/>
      <c r="D11" s="315"/>
      <c r="E11" s="25"/>
      <c r="F11" s="184">
        <v>10000</v>
      </c>
      <c r="G11" s="311" t="str">
        <f>IF(F14&lt;AO18,"Upravte OC!",IF(F14&gt;AO19,"Upravte OC alebo akontáciu!",""))</f>
        <v/>
      </c>
      <c r="H11" s="311"/>
      <c r="I11" s="311"/>
      <c r="J11" s="311"/>
      <c r="AB11" s="125">
        <v>60</v>
      </c>
      <c r="AC11" s="127">
        <f t="shared" ref="AC11:AG11" si="18">AC23</f>
        <v>2.7</v>
      </c>
      <c r="AD11" s="127">
        <f t="shared" si="18"/>
        <v>2.5</v>
      </c>
      <c r="AE11" s="127">
        <f t="shared" si="18"/>
        <v>2.2000000000000002</v>
      </c>
      <c r="AF11" s="127">
        <f t="shared" si="18"/>
        <v>2.1</v>
      </c>
      <c r="AG11" s="127">
        <f t="shared" si="18"/>
        <v>2.0499999999999998</v>
      </c>
      <c r="AH11" s="128">
        <f t="shared" si="2"/>
        <v>60</v>
      </c>
      <c r="AI11" s="129">
        <f t="shared" si="7"/>
        <v>220.00000000000003</v>
      </c>
      <c r="AJ11" s="127">
        <f t="shared" si="8"/>
        <v>2.2000000000000002</v>
      </c>
      <c r="AK11" s="130">
        <f>AL11-($F$14-$AL$4)/($AM$4-$AL$4)*($AL$11-$AM$11)</f>
        <v>2.2000000000000002</v>
      </c>
      <c r="AL11" s="127">
        <f t="shared" si="9"/>
        <v>2.5</v>
      </c>
      <c r="AM11" s="112">
        <f t="shared" si="3"/>
        <v>2.2000000000000002</v>
      </c>
      <c r="AN11" s="131">
        <v>0.05</v>
      </c>
      <c r="AO11" s="132">
        <f t="shared" si="10"/>
        <v>500</v>
      </c>
      <c r="AP11" s="133">
        <f t="shared" si="14"/>
        <v>5.83</v>
      </c>
      <c r="AQ11" s="134">
        <f t="shared" si="4"/>
        <v>1511.7974437099765</v>
      </c>
      <c r="AR11" s="135">
        <f t="shared" si="11"/>
        <v>0.15117974437099765</v>
      </c>
      <c r="AS11" s="135">
        <f t="shared" si="5"/>
        <v>0.16905974437099763</v>
      </c>
      <c r="AT11" s="136" t="str">
        <f t="shared" si="12"/>
        <v>A</v>
      </c>
      <c r="AW11" s="93"/>
      <c r="AX11" s="93"/>
      <c r="AY11" s="93"/>
      <c r="AZ11" s="93"/>
      <c r="BA11" s="93"/>
      <c r="BB11" s="93"/>
      <c r="BC11" s="93"/>
      <c r="BD11" s="93"/>
    </row>
    <row r="12" spans="1:59" x14ac:dyDescent="0.25">
      <c r="B12" s="24" t="s">
        <v>87</v>
      </c>
      <c r="C12" s="25"/>
      <c r="D12" s="25"/>
      <c r="E12" s="25"/>
      <c r="F12" s="48">
        <v>0</v>
      </c>
      <c r="G12" s="26"/>
      <c r="H12" s="27">
        <f>F12*100</f>
        <v>0</v>
      </c>
      <c r="I12" s="26"/>
      <c r="J12" s="25"/>
      <c r="AB12" s="111">
        <v>72</v>
      </c>
      <c r="AC12" s="112">
        <f t="shared" ref="AC12:AG12" si="19">AC24</f>
        <v>2.4</v>
      </c>
      <c r="AD12" s="112">
        <f t="shared" si="19"/>
        <v>2.2000000000000002</v>
      </c>
      <c r="AE12" s="112">
        <f t="shared" si="19"/>
        <v>1.9</v>
      </c>
      <c r="AF12" s="112">
        <f t="shared" si="19"/>
        <v>1.85</v>
      </c>
      <c r="AG12" s="112">
        <f t="shared" si="19"/>
        <v>1.75</v>
      </c>
      <c r="AH12" s="113">
        <f t="shared" si="2"/>
        <v>72</v>
      </c>
      <c r="AI12" s="114">
        <f t="shared" si="7"/>
        <v>190</v>
      </c>
      <c r="AJ12" s="112">
        <f t="shared" si="8"/>
        <v>1.9</v>
      </c>
      <c r="AK12" s="115">
        <f>AL12-($F$14-$AL$4)/($AM$4-$AL$4)*($AL$12-$AM$12)</f>
        <v>1.9</v>
      </c>
      <c r="AL12" s="112">
        <f t="shared" si="9"/>
        <v>2.2000000000000002</v>
      </c>
      <c r="AM12" s="112">
        <f t="shared" si="3"/>
        <v>1.9</v>
      </c>
      <c r="AN12" s="116">
        <v>0.04</v>
      </c>
      <c r="AO12" s="117">
        <f t="shared" ref="AO12" si="20">$F$11*AN12</f>
        <v>400</v>
      </c>
      <c r="AP12" s="123">
        <f t="shared" si="14"/>
        <v>5.83</v>
      </c>
      <c r="AQ12" s="119">
        <f t="shared" si="4"/>
        <v>1606.1766057081095</v>
      </c>
      <c r="AR12" s="120">
        <f t="shared" si="11"/>
        <v>0.16061766057081095</v>
      </c>
      <c r="AS12" s="120">
        <f t="shared" si="5"/>
        <v>0.18207366057081095</v>
      </c>
      <c r="AT12" s="122" t="str">
        <f t="shared" si="12"/>
        <v>A</v>
      </c>
      <c r="AW12" s="93"/>
      <c r="AX12" s="93"/>
      <c r="AY12" s="93"/>
      <c r="AZ12" s="93"/>
      <c r="BA12" s="93"/>
      <c r="BB12" s="93"/>
      <c r="BC12" s="93"/>
      <c r="BD12" s="93"/>
    </row>
    <row r="13" spans="1:59" x14ac:dyDescent="0.25">
      <c r="B13" s="28" t="s">
        <v>88</v>
      </c>
      <c r="C13" s="25"/>
      <c r="D13" s="25"/>
      <c r="E13" s="25"/>
      <c r="F13" s="29">
        <f>F11*F12</f>
        <v>0</v>
      </c>
      <c r="G13" s="25"/>
      <c r="H13" s="25"/>
      <c r="I13" s="25"/>
      <c r="J13" s="25"/>
      <c r="AM13" s="100"/>
      <c r="AN13" s="139"/>
      <c r="AO13" s="117"/>
      <c r="AW13" s="93"/>
      <c r="AX13" s="93"/>
      <c r="AY13" s="93"/>
      <c r="AZ13" s="93"/>
      <c r="BA13" s="93"/>
      <c r="BB13" s="93"/>
      <c r="BC13" s="93"/>
      <c r="BD13" s="93"/>
    </row>
    <row r="14" spans="1:59" x14ac:dyDescent="0.25">
      <c r="B14" s="28" t="s">
        <v>89</v>
      </c>
      <c r="C14" s="25"/>
      <c r="D14" s="25"/>
      <c r="E14" s="25"/>
      <c r="F14" s="29">
        <f>F11-F13</f>
        <v>10000</v>
      </c>
      <c r="G14" s="25"/>
      <c r="H14" s="25"/>
      <c r="I14" s="25"/>
      <c r="J14" s="25"/>
      <c r="AB14" s="305" t="s">
        <v>79</v>
      </c>
      <c r="AC14" s="305"/>
      <c r="AD14" s="305"/>
      <c r="AE14" s="305"/>
      <c r="AF14" s="305"/>
      <c r="AG14" s="305"/>
      <c r="AI14" s="101" t="s">
        <v>63</v>
      </c>
      <c r="AJ14" s="101" t="s">
        <v>71</v>
      </c>
      <c r="AK14" s="101" t="s">
        <v>71</v>
      </c>
      <c r="AL14" s="101"/>
      <c r="AM14" s="140">
        <v>30</v>
      </c>
      <c r="AN14" s="101" t="s">
        <v>76</v>
      </c>
      <c r="AO14" s="101"/>
      <c r="AP14" s="141">
        <v>10000.01</v>
      </c>
      <c r="AQ14" s="306" t="s">
        <v>69</v>
      </c>
      <c r="AR14" s="306"/>
      <c r="AS14" s="306"/>
      <c r="AW14" s="93"/>
      <c r="AX14" s="93"/>
      <c r="AY14" s="93"/>
      <c r="AZ14" s="93"/>
      <c r="BA14" s="93"/>
      <c r="BB14" s="93"/>
      <c r="BC14" s="93"/>
      <c r="BD14" s="93"/>
    </row>
    <row r="15" spans="1:59" x14ac:dyDescent="0.25">
      <c r="B15" s="315" t="s">
        <v>59</v>
      </c>
      <c r="C15" s="315"/>
      <c r="D15" s="315"/>
      <c r="E15" s="25"/>
      <c r="F15" s="48">
        <v>0</v>
      </c>
      <c r="G15" s="34" t="s">
        <v>55</v>
      </c>
      <c r="H15" s="318">
        <f>F14*F15</f>
        <v>0</v>
      </c>
      <c r="I15" s="318"/>
      <c r="J15" s="25"/>
      <c r="AB15" s="92"/>
      <c r="AC15" s="92"/>
      <c r="AD15" s="92"/>
      <c r="AE15" s="92"/>
      <c r="AF15" s="92"/>
      <c r="AG15" s="92"/>
      <c r="AH15" s="113"/>
      <c r="AI15" s="101" t="s">
        <v>64</v>
      </c>
      <c r="AJ15" s="101" t="s">
        <v>72</v>
      </c>
      <c r="AK15" s="101" t="s">
        <v>65</v>
      </c>
      <c r="AL15" s="112"/>
      <c r="AO15" s="117"/>
      <c r="AP15" s="141">
        <v>2000.01</v>
      </c>
      <c r="AQ15" s="306" t="s">
        <v>82</v>
      </c>
      <c r="AR15" s="306"/>
      <c r="AS15" s="306"/>
      <c r="AW15" s="93"/>
      <c r="AX15" s="93"/>
      <c r="AY15" s="93"/>
      <c r="AZ15" s="93"/>
      <c r="BA15" s="93"/>
      <c r="BB15" s="93"/>
      <c r="BC15" s="93"/>
      <c r="BD15" s="93"/>
    </row>
    <row r="16" spans="1:59" x14ac:dyDescent="0.25">
      <c r="B16" s="24"/>
      <c r="C16" s="25"/>
      <c r="D16" s="25"/>
      <c r="E16" s="25"/>
      <c r="F16" s="25"/>
      <c r="G16" s="25"/>
      <c r="H16" s="25"/>
      <c r="I16" s="25"/>
      <c r="J16" s="25"/>
      <c r="AB16" s="109" t="s">
        <v>8</v>
      </c>
      <c r="AC16" s="105">
        <v>500</v>
      </c>
      <c r="AD16" s="105">
        <v>1000</v>
      </c>
      <c r="AE16" s="105">
        <v>10000</v>
      </c>
      <c r="AF16" s="105">
        <v>25000</v>
      </c>
      <c r="AG16" s="105">
        <v>45000</v>
      </c>
      <c r="AH16" s="113"/>
      <c r="AI16" s="101" t="s">
        <v>70</v>
      </c>
      <c r="AJ16" s="101" t="s">
        <v>73</v>
      </c>
      <c r="AK16" s="101" t="s">
        <v>74</v>
      </c>
      <c r="AO16" s="117"/>
      <c r="AW16" s="93"/>
      <c r="AX16" s="93"/>
      <c r="AY16" s="93"/>
      <c r="AZ16" s="93"/>
      <c r="BA16" s="93"/>
      <c r="BB16" s="93"/>
      <c r="BC16" s="93"/>
      <c r="BD16" s="93"/>
    </row>
    <row r="17" spans="2:56" ht="15.75" x14ac:dyDescent="0.25">
      <c r="B17" s="319" t="s">
        <v>96</v>
      </c>
      <c r="C17" s="319"/>
      <c r="D17" s="319"/>
      <c r="E17" s="319"/>
      <c r="F17" s="319"/>
      <c r="G17" s="319"/>
      <c r="H17" s="319"/>
      <c r="I17" s="319"/>
      <c r="J17" s="319"/>
      <c r="AB17" s="111">
        <v>6</v>
      </c>
      <c r="AC17" s="142">
        <v>18.5</v>
      </c>
      <c r="AD17" s="142">
        <v>18.3</v>
      </c>
      <c r="AE17" s="142">
        <v>18</v>
      </c>
      <c r="AF17" s="142">
        <v>17.7</v>
      </c>
      <c r="AG17" s="142">
        <v>17.600000000000001</v>
      </c>
      <c r="AH17" s="113">
        <f t="shared" ref="AH17:AH24" si="21">AB17</f>
        <v>6</v>
      </c>
      <c r="AI17" s="143">
        <f>-PV(AP5/100/12,AH17,$H$15/AH17,,1)</f>
        <v>0</v>
      </c>
      <c r="AJ17" s="144">
        <f>IF(AI17=0,0,$H$15/(AI17/$H$15)/AH17)</f>
        <v>0</v>
      </c>
      <c r="AK17" s="112">
        <f>AJ17/$F$14*100</f>
        <v>0</v>
      </c>
      <c r="AM17" s="145" t="s">
        <v>48</v>
      </c>
      <c r="AN17" s="307" t="s">
        <v>56</v>
      </c>
      <c r="AO17" s="307"/>
      <c r="AQ17" s="146" t="s">
        <v>78</v>
      </c>
      <c r="AW17" s="93"/>
      <c r="AX17" s="93"/>
      <c r="AY17" s="93"/>
      <c r="AZ17" s="93"/>
      <c r="BA17" s="93"/>
      <c r="BB17" s="93"/>
      <c r="BC17" s="93"/>
      <c r="BD17" s="93"/>
    </row>
    <row r="18" spans="2:56" x14ac:dyDescent="0.25">
      <c r="B18" s="310" t="s">
        <v>97</v>
      </c>
      <c r="C18" s="320"/>
      <c r="D18" s="320"/>
      <c r="E18" s="320"/>
      <c r="F18" s="320"/>
      <c r="G18" s="320"/>
      <c r="H18" s="320"/>
      <c r="I18" s="320"/>
      <c r="J18" s="320"/>
      <c r="AB18" s="111">
        <v>9</v>
      </c>
      <c r="AC18" s="142">
        <v>13</v>
      </c>
      <c r="AD18" s="142">
        <v>12.7</v>
      </c>
      <c r="AE18" s="142">
        <v>12.4</v>
      </c>
      <c r="AF18" s="142">
        <v>12.2</v>
      </c>
      <c r="AG18" s="142">
        <v>12.1</v>
      </c>
      <c r="AH18" s="113">
        <f t="shared" si="21"/>
        <v>9</v>
      </c>
      <c r="AI18" s="143">
        <f t="shared" ref="AI18:AI24" si="22">-PV(AP6/100/12,AH18,$H$15/AH18,,1)</f>
        <v>0</v>
      </c>
      <c r="AJ18" s="144">
        <f t="shared" ref="AJ18:AJ24" si="23">IF(AI18=0,0,$H$15/(AI18/$H$15)/AH18)</f>
        <v>0</v>
      </c>
      <c r="AK18" s="112">
        <f t="shared" ref="AK18:AK24" si="24">AJ18/$F$14*100</f>
        <v>0</v>
      </c>
      <c r="AM18" s="145">
        <f>IF(F14&lt;AO18,0,1)</f>
        <v>1</v>
      </c>
      <c r="AN18" s="146" t="s">
        <v>46</v>
      </c>
      <c r="AO18" s="147">
        <v>500</v>
      </c>
      <c r="AQ18" s="148">
        <v>0</v>
      </c>
      <c r="AW18" s="93"/>
      <c r="AX18" s="93"/>
      <c r="AY18" s="93"/>
      <c r="AZ18" s="93"/>
      <c r="BA18" s="93"/>
      <c r="BB18" s="93"/>
      <c r="BC18" s="93"/>
      <c r="BD18" s="93"/>
    </row>
    <row r="19" spans="2:56" x14ac:dyDescent="0.25">
      <c r="B19" s="90"/>
      <c r="AB19" s="111">
        <v>12</v>
      </c>
      <c r="AC19" s="142">
        <v>10</v>
      </c>
      <c r="AD19" s="142">
        <v>9.8000000000000007</v>
      </c>
      <c r="AE19" s="142">
        <v>9.3000000000000007</v>
      </c>
      <c r="AF19" s="142">
        <v>9.1</v>
      </c>
      <c r="AG19" s="142">
        <v>8.9</v>
      </c>
      <c r="AH19" s="113">
        <f t="shared" si="21"/>
        <v>12</v>
      </c>
      <c r="AI19" s="143">
        <f t="shared" si="22"/>
        <v>0</v>
      </c>
      <c r="AJ19" s="144">
        <f t="shared" si="23"/>
        <v>0</v>
      </c>
      <c r="AK19" s="112">
        <f t="shared" si="24"/>
        <v>0</v>
      </c>
      <c r="AM19" s="145">
        <f>IF(F14&gt;AO19,0,1)</f>
        <v>1</v>
      </c>
      <c r="AN19" s="149" t="s">
        <v>47</v>
      </c>
      <c r="AO19" s="147">
        <v>45000</v>
      </c>
      <c r="AQ19" s="148">
        <v>0.01</v>
      </c>
      <c r="AR19" s="150"/>
      <c r="AS19" s="150"/>
      <c r="AW19" s="93"/>
      <c r="AX19" s="93"/>
      <c r="AY19" s="93"/>
      <c r="AZ19" s="93"/>
      <c r="BA19" s="93"/>
      <c r="BB19" s="93"/>
      <c r="BC19" s="93"/>
      <c r="BD19" s="93"/>
    </row>
    <row r="20" spans="2:56" x14ac:dyDescent="0.25">
      <c r="AB20" s="138">
        <v>24</v>
      </c>
      <c r="AC20" s="142">
        <v>5.2</v>
      </c>
      <c r="AD20" s="142">
        <v>5</v>
      </c>
      <c r="AE20" s="142">
        <v>4.8</v>
      </c>
      <c r="AF20" s="142">
        <v>4.7</v>
      </c>
      <c r="AG20" s="142">
        <v>4.5999999999999996</v>
      </c>
      <c r="AH20" s="113">
        <f t="shared" si="21"/>
        <v>24</v>
      </c>
      <c r="AI20" s="143">
        <f t="shared" si="22"/>
        <v>0</v>
      </c>
      <c r="AJ20" s="144">
        <f t="shared" si="23"/>
        <v>0</v>
      </c>
      <c r="AK20" s="112">
        <f t="shared" si="24"/>
        <v>0</v>
      </c>
      <c r="AM20" s="112"/>
      <c r="AN20" s="112"/>
      <c r="AO20" s="117"/>
      <c r="AQ20" s="148">
        <v>0.02</v>
      </c>
      <c r="AW20" s="93"/>
      <c r="AX20" s="93"/>
      <c r="AY20" s="93"/>
      <c r="AZ20" s="93"/>
      <c r="BA20" s="93"/>
      <c r="BB20" s="93"/>
      <c r="BC20" s="93"/>
      <c r="BD20" s="93"/>
    </row>
    <row r="21" spans="2:56" x14ac:dyDescent="0.25">
      <c r="AB21" s="138">
        <v>36</v>
      </c>
      <c r="AC21" s="142">
        <v>3.85</v>
      </c>
      <c r="AD21" s="142">
        <v>3.6</v>
      </c>
      <c r="AE21" s="142">
        <v>3.25</v>
      </c>
      <c r="AF21" s="142">
        <v>3.2</v>
      </c>
      <c r="AG21" s="142">
        <v>3.15</v>
      </c>
      <c r="AH21" s="113">
        <f t="shared" si="21"/>
        <v>36</v>
      </c>
      <c r="AI21" s="143">
        <f t="shared" si="22"/>
        <v>0</v>
      </c>
      <c r="AJ21" s="144">
        <f t="shared" si="23"/>
        <v>0</v>
      </c>
      <c r="AK21" s="112">
        <f t="shared" si="24"/>
        <v>0</v>
      </c>
      <c r="AM21" s="317" t="s">
        <v>49</v>
      </c>
      <c r="AN21" s="317"/>
      <c r="AO21" s="151">
        <v>2.98</v>
      </c>
      <c r="AQ21" s="148">
        <v>0.03</v>
      </c>
      <c r="AR21" s="150"/>
      <c r="AS21" s="150"/>
      <c r="AW21" s="93"/>
      <c r="AX21" s="93"/>
      <c r="AY21" s="93"/>
      <c r="AZ21" s="93"/>
      <c r="BA21" s="93"/>
      <c r="BB21" s="93"/>
      <c r="BC21" s="93"/>
      <c r="BD21" s="93"/>
    </row>
    <row r="22" spans="2:56" x14ac:dyDescent="0.25">
      <c r="AB22" s="111">
        <v>48</v>
      </c>
      <c r="AC22" s="142">
        <v>3.2</v>
      </c>
      <c r="AD22" s="142">
        <v>2.9</v>
      </c>
      <c r="AE22" s="142">
        <v>2.6</v>
      </c>
      <c r="AF22" s="142">
        <v>2.5</v>
      </c>
      <c r="AG22" s="142">
        <v>2.4500000000000002</v>
      </c>
      <c r="AH22" s="113">
        <f t="shared" si="21"/>
        <v>48</v>
      </c>
      <c r="AI22" s="143">
        <f t="shared" si="22"/>
        <v>0</v>
      </c>
      <c r="AJ22" s="144">
        <f t="shared" si="23"/>
        <v>0</v>
      </c>
      <c r="AK22" s="112">
        <f t="shared" si="24"/>
        <v>0</v>
      </c>
      <c r="AM22" s="146"/>
      <c r="AN22" s="146"/>
      <c r="AO22" s="146"/>
      <c r="AP22" s="146"/>
      <c r="AQ22" s="148">
        <v>0.04</v>
      </c>
      <c r="AR22" s="146"/>
      <c r="AS22" s="146"/>
      <c r="AW22" s="93"/>
      <c r="AX22" s="93"/>
      <c r="AY22" s="93"/>
      <c r="AZ22" s="93"/>
      <c r="BA22" s="93"/>
      <c r="BB22" s="93"/>
      <c r="BC22" s="93"/>
      <c r="BD22" s="93"/>
    </row>
    <row r="23" spans="2:56" x14ac:dyDescent="0.25">
      <c r="AB23" s="111">
        <v>60</v>
      </c>
      <c r="AC23" s="142">
        <v>2.7</v>
      </c>
      <c r="AD23" s="142">
        <v>2.5</v>
      </c>
      <c r="AE23" s="142">
        <v>2.2000000000000002</v>
      </c>
      <c r="AF23" s="142">
        <v>2.1</v>
      </c>
      <c r="AG23" s="142">
        <v>2.0499999999999998</v>
      </c>
      <c r="AH23" s="113">
        <f t="shared" si="21"/>
        <v>60</v>
      </c>
      <c r="AI23" s="143">
        <f t="shared" si="22"/>
        <v>0</v>
      </c>
      <c r="AJ23" s="144">
        <f t="shared" si="23"/>
        <v>0</v>
      </c>
      <c r="AK23" s="112">
        <f t="shared" si="24"/>
        <v>0</v>
      </c>
      <c r="AO23" s="137"/>
      <c r="AQ23" s="146"/>
      <c r="AR23" s="146"/>
      <c r="AS23" s="146"/>
      <c r="AW23" s="93"/>
      <c r="AX23" s="93"/>
      <c r="AY23" s="93"/>
      <c r="AZ23" s="93"/>
      <c r="BA23" s="93"/>
      <c r="BB23" s="93"/>
      <c r="BC23" s="93"/>
      <c r="BD23" s="93"/>
    </row>
    <row r="24" spans="2:56" x14ac:dyDescent="0.25">
      <c r="AB24" s="111">
        <v>72</v>
      </c>
      <c r="AC24" s="142">
        <v>2.4</v>
      </c>
      <c r="AD24" s="142">
        <v>2.2000000000000002</v>
      </c>
      <c r="AE24" s="142">
        <v>1.9</v>
      </c>
      <c r="AF24" s="142">
        <v>1.85</v>
      </c>
      <c r="AG24" s="142">
        <v>1.75</v>
      </c>
      <c r="AH24" s="113">
        <f t="shared" si="21"/>
        <v>72</v>
      </c>
      <c r="AI24" s="143">
        <f t="shared" si="22"/>
        <v>0</v>
      </c>
      <c r="AJ24" s="144">
        <f t="shared" si="23"/>
        <v>0</v>
      </c>
      <c r="AK24" s="112">
        <f t="shared" si="24"/>
        <v>0</v>
      </c>
      <c r="AO24" s="137"/>
      <c r="AQ24" s="146"/>
      <c r="AR24" s="152"/>
      <c r="AS24" s="146"/>
      <c r="AW24" s="93"/>
      <c r="AX24" s="93"/>
      <c r="AY24" s="93"/>
      <c r="AZ24" s="93"/>
      <c r="BA24" s="93"/>
      <c r="BB24" s="93"/>
      <c r="BC24" s="93"/>
      <c r="BD24" s="93"/>
    </row>
    <row r="25" spans="2:56" x14ac:dyDescent="0.25">
      <c r="AB25" s="153"/>
      <c r="AC25" s="154"/>
      <c r="AD25" s="154"/>
      <c r="AE25" s="155"/>
      <c r="AF25" s="155"/>
      <c r="AG25" s="155"/>
      <c r="AH25" s="137"/>
      <c r="AI25" s="156"/>
      <c r="AJ25" s="156"/>
      <c r="AK25" s="137"/>
      <c r="AL25" s="137"/>
      <c r="AM25" s="137"/>
      <c r="AN25" s="137"/>
      <c r="AO25" s="157"/>
      <c r="AP25" s="137"/>
      <c r="AQ25" s="137"/>
      <c r="AR25" s="158"/>
      <c r="AS25" s="153"/>
      <c r="AT25" s="137"/>
    </row>
    <row r="26" spans="2:56" x14ac:dyDescent="0.25">
      <c r="AB26" s="159"/>
      <c r="AC26" s="159"/>
      <c r="AD26" s="159"/>
      <c r="AE26" s="159"/>
      <c r="AF26" s="159"/>
      <c r="AG26" s="159"/>
      <c r="AH26" s="137"/>
      <c r="AI26" s="305"/>
      <c r="AJ26" s="305"/>
      <c r="AK26" s="305"/>
      <c r="AL26" s="305"/>
      <c r="AM26" s="305"/>
      <c r="AN26" s="305"/>
      <c r="AO26" s="160"/>
      <c r="AP26" s="161"/>
      <c r="AQ26" s="161"/>
      <c r="AR26" s="137"/>
      <c r="AS26" s="153"/>
      <c r="AT26" s="137"/>
    </row>
    <row r="27" spans="2:56" x14ac:dyDescent="0.25">
      <c r="AB27" s="92"/>
      <c r="AC27" s="92"/>
      <c r="AD27" s="92"/>
      <c r="AE27" s="92"/>
      <c r="AF27" s="92"/>
      <c r="AG27" s="92"/>
      <c r="AH27" s="137"/>
      <c r="AI27" s="162"/>
      <c r="AJ27" s="92"/>
      <c r="AK27" s="92"/>
      <c r="AL27" s="92"/>
      <c r="AM27" s="92"/>
      <c r="AN27" s="92"/>
      <c r="AO27" s="155"/>
      <c r="AP27" s="163"/>
      <c r="AQ27" s="163"/>
      <c r="AR27" s="137"/>
      <c r="AS27" s="153"/>
      <c r="AT27" s="137"/>
    </row>
    <row r="28" spans="2:56" x14ac:dyDescent="0.25">
      <c r="AB28" s="109"/>
      <c r="AC28" s="105"/>
      <c r="AD28" s="105"/>
      <c r="AE28" s="105"/>
      <c r="AF28" s="105"/>
      <c r="AG28" s="105"/>
      <c r="AH28" s="137"/>
      <c r="AI28" s="109"/>
      <c r="AJ28" s="105"/>
      <c r="AK28" s="105"/>
      <c r="AL28" s="105"/>
      <c r="AM28" s="105"/>
      <c r="AN28" s="105"/>
      <c r="AO28" s="105"/>
      <c r="AP28" s="164"/>
      <c r="AQ28" s="165"/>
      <c r="AR28" s="137"/>
      <c r="AS28" s="153"/>
      <c r="AT28" s="137"/>
    </row>
    <row r="29" spans="2:56" x14ac:dyDescent="0.25">
      <c r="AB29" s="111"/>
      <c r="AC29" s="112"/>
      <c r="AD29" s="112"/>
      <c r="AE29" s="112"/>
      <c r="AF29" s="112"/>
      <c r="AG29" s="112"/>
      <c r="AH29" s="137"/>
      <c r="AI29" s="111"/>
      <c r="AJ29" s="166"/>
      <c r="AK29" s="166"/>
      <c r="AL29" s="166"/>
      <c r="AM29" s="166"/>
      <c r="AN29" s="166"/>
      <c r="AO29" s="167"/>
      <c r="AP29" s="164"/>
      <c r="AQ29" s="165"/>
      <c r="AR29" s="137"/>
      <c r="AS29" s="153"/>
      <c r="AT29" s="137"/>
    </row>
    <row r="30" spans="2:56" x14ac:dyDescent="0.25">
      <c r="AB30" s="111"/>
      <c r="AC30" s="112"/>
      <c r="AD30" s="112"/>
      <c r="AE30" s="112"/>
      <c r="AF30" s="112"/>
      <c r="AG30" s="112"/>
      <c r="AH30" s="137"/>
      <c r="AI30" s="111"/>
      <c r="AJ30" s="166"/>
      <c r="AK30" s="166"/>
      <c r="AL30" s="166"/>
      <c r="AM30" s="166"/>
      <c r="AN30" s="166"/>
      <c r="AO30" s="168"/>
      <c r="AP30" s="164"/>
      <c r="AQ30" s="165"/>
      <c r="AR30" s="137"/>
      <c r="AS30" s="153"/>
      <c r="AT30" s="137"/>
    </row>
    <row r="31" spans="2:56" x14ac:dyDescent="0.25">
      <c r="AB31" s="111"/>
      <c r="AC31" s="112"/>
      <c r="AD31" s="112"/>
      <c r="AE31" s="112"/>
      <c r="AF31" s="112"/>
      <c r="AG31" s="112"/>
      <c r="AH31" s="137"/>
      <c r="AI31" s="111"/>
      <c r="AJ31" s="166"/>
      <c r="AK31" s="166"/>
      <c r="AL31" s="166"/>
      <c r="AM31" s="166"/>
      <c r="AN31" s="166"/>
      <c r="AO31" s="168"/>
      <c r="AP31" s="164"/>
      <c r="AQ31" s="165"/>
      <c r="AR31" s="137"/>
      <c r="AS31" s="153"/>
      <c r="AT31" s="137"/>
    </row>
    <row r="32" spans="2:56" x14ac:dyDescent="0.25">
      <c r="AB32" s="138"/>
      <c r="AC32" s="112"/>
      <c r="AD32" s="112"/>
      <c r="AE32" s="112"/>
      <c r="AF32" s="112"/>
      <c r="AG32" s="112"/>
      <c r="AH32" s="137"/>
      <c r="AI32" s="138"/>
      <c r="AJ32" s="166"/>
      <c r="AK32" s="166"/>
      <c r="AL32" s="166"/>
      <c r="AM32" s="166"/>
      <c r="AN32" s="166"/>
      <c r="AO32" s="168"/>
      <c r="AP32" s="164"/>
      <c r="AQ32" s="165"/>
      <c r="AR32" s="137"/>
      <c r="AS32" s="153"/>
      <c r="AT32" s="137"/>
    </row>
    <row r="33" spans="28:46" x14ac:dyDescent="0.25">
      <c r="AB33" s="138"/>
      <c r="AC33" s="112"/>
      <c r="AD33" s="112"/>
      <c r="AE33" s="112"/>
      <c r="AF33" s="112"/>
      <c r="AG33" s="112"/>
      <c r="AH33" s="137"/>
      <c r="AI33" s="138"/>
      <c r="AJ33" s="166"/>
      <c r="AK33" s="166"/>
      <c r="AL33" s="169"/>
      <c r="AM33" s="169"/>
      <c r="AN33" s="169"/>
      <c r="AO33" s="168"/>
      <c r="AP33" s="164"/>
      <c r="AQ33" s="165"/>
      <c r="AR33" s="137"/>
      <c r="AS33" s="153"/>
      <c r="AT33" s="137"/>
    </row>
    <row r="34" spans="28:46" x14ac:dyDescent="0.25">
      <c r="AB34" s="111"/>
      <c r="AC34" s="112"/>
      <c r="AD34" s="112"/>
      <c r="AE34" s="112"/>
      <c r="AF34" s="112"/>
      <c r="AG34" s="112"/>
      <c r="AH34" s="137"/>
      <c r="AI34" s="111"/>
      <c r="AJ34" s="166"/>
      <c r="AK34" s="166"/>
      <c r="AL34" s="169"/>
      <c r="AM34" s="169"/>
      <c r="AN34" s="169"/>
      <c r="AO34" s="168"/>
      <c r="AP34" s="164"/>
      <c r="AQ34" s="165"/>
      <c r="AR34" s="137"/>
      <c r="AS34" s="153"/>
      <c r="AT34" s="137"/>
    </row>
    <row r="35" spans="28:46" x14ac:dyDescent="0.25">
      <c r="AB35" s="111"/>
      <c r="AC35" s="112"/>
      <c r="AD35" s="112"/>
      <c r="AE35" s="112"/>
      <c r="AF35" s="112"/>
      <c r="AG35" s="112"/>
      <c r="AH35" s="137"/>
      <c r="AI35" s="111"/>
      <c r="AJ35" s="166"/>
      <c r="AK35" s="169"/>
      <c r="AL35" s="169"/>
      <c r="AM35" s="169"/>
      <c r="AN35" s="169"/>
      <c r="AO35" s="168"/>
      <c r="AP35" s="164"/>
      <c r="AQ35" s="165"/>
      <c r="AR35" s="137"/>
      <c r="AS35" s="153"/>
      <c r="AT35" s="137"/>
    </row>
    <row r="36" spans="28:46" x14ac:dyDescent="0.25">
      <c r="AB36" s="111"/>
      <c r="AC36" s="112"/>
      <c r="AD36" s="112"/>
      <c r="AE36" s="112"/>
      <c r="AF36" s="112"/>
      <c r="AG36" s="112"/>
      <c r="AH36" s="137"/>
      <c r="AI36" s="111"/>
      <c r="AJ36" s="166"/>
      <c r="AK36" s="166"/>
      <c r="AL36" s="166"/>
      <c r="AM36" s="166"/>
      <c r="AN36" s="166"/>
      <c r="AO36" s="168"/>
      <c r="AP36" s="137"/>
      <c r="AQ36" s="137"/>
      <c r="AR36" s="137"/>
      <c r="AS36" s="153"/>
      <c r="AT36" s="137"/>
    </row>
    <row r="37" spans="28:46" x14ac:dyDescent="0.25">
      <c r="AB37" s="170"/>
      <c r="AC37" s="171"/>
      <c r="AD37" s="171"/>
      <c r="AE37" s="171"/>
      <c r="AF37" s="171"/>
      <c r="AG37" s="171"/>
      <c r="AT37" s="137"/>
    </row>
    <row r="38" spans="28:46" x14ac:dyDescent="0.25">
      <c r="AI38" s="305"/>
      <c r="AJ38" s="305"/>
      <c r="AK38" s="305"/>
      <c r="AL38" s="305"/>
      <c r="AM38" s="305"/>
      <c r="AN38" s="305"/>
      <c r="AO38" s="172"/>
      <c r="AT38" s="137"/>
    </row>
    <row r="39" spans="28:46" x14ac:dyDescent="0.25">
      <c r="AI39" s="162"/>
      <c r="AJ39" s="92"/>
      <c r="AK39" s="92"/>
      <c r="AL39" s="92"/>
      <c r="AM39" s="92"/>
      <c r="AN39" s="92"/>
      <c r="AO39" s="152"/>
      <c r="AT39" s="137"/>
    </row>
    <row r="40" spans="28:46" x14ac:dyDescent="0.25">
      <c r="AH40" s="96"/>
      <c r="AI40" s="109"/>
      <c r="AJ40" s="105"/>
      <c r="AK40" s="105"/>
      <c r="AL40" s="105"/>
      <c r="AM40" s="105"/>
      <c r="AN40" s="105"/>
      <c r="AO40" s="105"/>
      <c r="AT40" s="137"/>
    </row>
    <row r="41" spans="28:46" x14ac:dyDescent="0.25">
      <c r="AI41" s="111"/>
      <c r="AJ41" s="173"/>
      <c r="AK41" s="173"/>
      <c r="AL41" s="173"/>
      <c r="AM41" s="173"/>
      <c r="AN41" s="173"/>
      <c r="AO41" s="173"/>
      <c r="AT41" s="137"/>
    </row>
    <row r="42" spans="28:46" x14ac:dyDescent="0.25">
      <c r="AI42" s="111"/>
      <c r="AJ42" s="173"/>
      <c r="AK42" s="173"/>
      <c r="AL42" s="173"/>
      <c r="AM42" s="173"/>
      <c r="AN42" s="173"/>
      <c r="AO42" s="173"/>
      <c r="AT42" s="137"/>
    </row>
    <row r="43" spans="28:46" x14ac:dyDescent="0.25">
      <c r="AI43" s="111"/>
      <c r="AJ43" s="173"/>
      <c r="AK43" s="173"/>
      <c r="AL43" s="173"/>
      <c r="AM43" s="173"/>
      <c r="AN43" s="173"/>
      <c r="AO43" s="173"/>
      <c r="AT43" s="137"/>
    </row>
    <row r="44" spans="28:46" x14ac:dyDescent="0.25">
      <c r="AI44" s="138"/>
      <c r="AJ44" s="173"/>
      <c r="AK44" s="173"/>
      <c r="AL44" s="173"/>
      <c r="AM44" s="173"/>
      <c r="AN44" s="173"/>
      <c r="AO44" s="173"/>
    </row>
    <row r="45" spans="28:46" x14ac:dyDescent="0.25">
      <c r="AH45" s="92"/>
      <c r="AI45" s="138"/>
      <c r="AJ45" s="173"/>
      <c r="AK45" s="173"/>
      <c r="AL45" s="173"/>
      <c r="AM45" s="173"/>
      <c r="AN45" s="173"/>
      <c r="AO45" s="173"/>
    </row>
    <row r="46" spans="28:46" x14ac:dyDescent="0.25">
      <c r="AH46" s="174"/>
      <c r="AI46" s="111"/>
      <c r="AJ46" s="173"/>
      <c r="AK46" s="173"/>
      <c r="AL46" s="173"/>
      <c r="AM46" s="173"/>
      <c r="AN46" s="173"/>
      <c r="AO46" s="173"/>
    </row>
    <row r="47" spans="28:46" x14ac:dyDescent="0.25">
      <c r="AH47" s="174"/>
      <c r="AI47" s="111"/>
      <c r="AJ47" s="173"/>
      <c r="AK47" s="173"/>
      <c r="AL47" s="173"/>
      <c r="AM47" s="173"/>
      <c r="AN47" s="173"/>
      <c r="AO47" s="173"/>
    </row>
    <row r="48" spans="28:46" x14ac:dyDescent="0.25">
      <c r="AI48" s="111"/>
      <c r="AJ48" s="173"/>
      <c r="AK48" s="173"/>
      <c r="AL48" s="173"/>
      <c r="AM48" s="173"/>
      <c r="AN48" s="173"/>
      <c r="AO48" s="173"/>
    </row>
    <row r="49" spans="29:41" x14ac:dyDescent="0.25">
      <c r="AH49" s="96"/>
      <c r="AI49" s="96"/>
      <c r="AJ49" s="96"/>
      <c r="AK49" s="146"/>
      <c r="AL49" s="146"/>
      <c r="AM49" s="146"/>
      <c r="AN49" s="146"/>
      <c r="AO49" s="146"/>
    </row>
    <row r="50" spans="29:41" x14ac:dyDescent="0.25">
      <c r="AC50" s="112"/>
      <c r="AH50" s="175"/>
      <c r="AK50" s="146"/>
      <c r="AL50" s="176"/>
      <c r="AM50" s="176"/>
      <c r="AN50" s="176"/>
      <c r="AO50" s="176"/>
    </row>
    <row r="51" spans="29:41" x14ac:dyDescent="0.25">
      <c r="AH51" s="177"/>
      <c r="AK51" s="146"/>
      <c r="AL51" s="146"/>
      <c r="AM51" s="146"/>
      <c r="AN51" s="146"/>
      <c r="AO51" s="146"/>
    </row>
    <row r="52" spans="29:41" x14ac:dyDescent="0.25">
      <c r="AH52" s="177"/>
      <c r="AK52" s="178"/>
      <c r="AL52" s="179"/>
      <c r="AM52" s="179"/>
      <c r="AN52" s="179"/>
      <c r="AO52" s="179"/>
    </row>
    <row r="53" spans="29:41" x14ac:dyDescent="0.25">
      <c r="AH53" s="177"/>
      <c r="AK53" s="178"/>
      <c r="AL53" s="179"/>
      <c r="AM53" s="179"/>
      <c r="AN53" s="179"/>
      <c r="AO53" s="179"/>
    </row>
    <row r="54" spans="29:41" x14ac:dyDescent="0.25">
      <c r="AH54" s="177"/>
      <c r="AK54" s="178"/>
      <c r="AL54" s="179"/>
      <c r="AM54" s="179"/>
      <c r="AN54" s="179"/>
      <c r="AO54" s="179"/>
    </row>
    <row r="55" spans="29:41" x14ac:dyDescent="0.25">
      <c r="AH55" s="177"/>
      <c r="AI55" s="162"/>
      <c r="AJ55" s="92"/>
      <c r="AK55" s="92"/>
      <c r="AL55" s="92"/>
      <c r="AM55" s="92"/>
      <c r="AN55" s="92"/>
      <c r="AO55" s="152"/>
    </row>
    <row r="56" spans="29:41" x14ac:dyDescent="0.25">
      <c r="AH56" s="177"/>
      <c r="AI56" s="109"/>
      <c r="AJ56" s="105"/>
      <c r="AK56" s="105"/>
      <c r="AL56" s="105"/>
      <c r="AM56" s="105"/>
      <c r="AN56" s="105"/>
      <c r="AO56" s="105"/>
    </row>
    <row r="57" spans="29:41" x14ac:dyDescent="0.25">
      <c r="AH57" s="177"/>
      <c r="AI57" s="111"/>
      <c r="AJ57" s="173"/>
      <c r="AK57" s="173"/>
      <c r="AL57" s="173"/>
      <c r="AM57" s="173"/>
      <c r="AN57" s="173"/>
      <c r="AO57" s="173"/>
    </row>
    <row r="58" spans="29:41" x14ac:dyDescent="0.25">
      <c r="AH58" s="177"/>
      <c r="AI58" s="111"/>
      <c r="AJ58" s="173"/>
      <c r="AK58" s="173"/>
      <c r="AL58" s="173"/>
      <c r="AM58" s="173"/>
      <c r="AN58" s="173"/>
      <c r="AO58" s="173"/>
    </row>
    <row r="59" spans="29:41" x14ac:dyDescent="0.25">
      <c r="AI59" s="111"/>
      <c r="AJ59" s="173"/>
      <c r="AK59" s="173"/>
      <c r="AL59" s="173"/>
      <c r="AM59" s="173"/>
      <c r="AN59" s="173"/>
      <c r="AO59" s="173"/>
    </row>
    <row r="60" spans="29:41" x14ac:dyDescent="0.25">
      <c r="AI60" s="138"/>
      <c r="AJ60" s="173"/>
      <c r="AK60" s="173"/>
      <c r="AL60" s="173"/>
      <c r="AM60" s="173"/>
      <c r="AN60" s="173"/>
      <c r="AO60" s="173"/>
    </row>
    <row r="61" spans="29:41" x14ac:dyDescent="0.25">
      <c r="AI61" s="138"/>
      <c r="AJ61" s="173"/>
      <c r="AK61" s="173"/>
      <c r="AL61" s="173"/>
      <c r="AM61" s="173"/>
      <c r="AN61" s="173"/>
      <c r="AO61" s="173"/>
    </row>
    <row r="62" spans="29:41" x14ac:dyDescent="0.25">
      <c r="AI62" s="111"/>
      <c r="AJ62" s="173"/>
      <c r="AK62" s="173"/>
      <c r="AL62" s="173"/>
      <c r="AM62" s="173"/>
      <c r="AN62" s="173"/>
      <c r="AO62" s="173"/>
    </row>
    <row r="63" spans="29:41" x14ac:dyDescent="0.25">
      <c r="AI63" s="111"/>
      <c r="AJ63" s="173"/>
      <c r="AK63" s="173"/>
      <c r="AL63" s="173"/>
      <c r="AM63" s="173"/>
      <c r="AN63" s="173"/>
      <c r="AO63" s="173"/>
    </row>
    <row r="64" spans="29:41" x14ac:dyDescent="0.25">
      <c r="AI64" s="111"/>
      <c r="AJ64" s="173"/>
      <c r="AK64" s="173"/>
      <c r="AL64" s="173"/>
      <c r="AM64" s="173"/>
      <c r="AN64" s="173"/>
      <c r="AO64" s="173"/>
    </row>
    <row r="65" spans="35:41" x14ac:dyDescent="0.25">
      <c r="AI65" s="96"/>
      <c r="AJ65" s="96"/>
      <c r="AK65" s="146"/>
      <c r="AL65" s="146"/>
      <c r="AM65" s="146"/>
      <c r="AN65" s="146"/>
      <c r="AO65" s="146"/>
    </row>
  </sheetData>
  <sheetProtection algorithmName="SHA-512" hashValue="ByqFnINlT7O6S/zIn/Be1YTRVHVEzFxk5RnxVg4QXkTp84sJKQDu+MJYOrT47YlPCogRmaE3lAEfGe7wHP0Z4g==" saltValue="g7Fj20TDC+fNFnazGROMvQ==" spinCount="100000" sheet="1" selectLockedCells="1"/>
  <mergeCells count="20">
    <mergeCell ref="AB14:AG14"/>
    <mergeCell ref="AI26:AN26"/>
    <mergeCell ref="B4:G4"/>
    <mergeCell ref="AM21:AN21"/>
    <mergeCell ref="H15:I15"/>
    <mergeCell ref="B15:D15"/>
    <mergeCell ref="B17:J17"/>
    <mergeCell ref="B18:J18"/>
    <mergeCell ref="B2:G2"/>
    <mergeCell ref="B3:G3"/>
    <mergeCell ref="G11:J11"/>
    <mergeCell ref="F7:J7"/>
    <mergeCell ref="F8:J8"/>
    <mergeCell ref="F10:J10"/>
    <mergeCell ref="B11:D11"/>
    <mergeCell ref="AI38:AN38"/>
    <mergeCell ref="AQ14:AS14"/>
    <mergeCell ref="AN17:AO17"/>
    <mergeCell ref="AQ15:AS15"/>
    <mergeCell ref="AQ3:AR3"/>
  </mergeCells>
  <conditionalFormatting sqref="F14">
    <cfRule type="cellIs" dxfId="1" priority="1" operator="greaterThan">
      <formula>$AO$19</formula>
    </cfRule>
    <cfRule type="cellIs" dxfId="0" priority="2" stopIfTrue="1" operator="lessThan">
      <formula>$AO$18</formula>
    </cfRule>
  </conditionalFormatting>
  <dataValidations count="2">
    <dataValidation type="list" allowBlank="1" showInputMessage="1" showErrorMessage="1" sqref="F12" xr:uid="{00000000-0002-0000-0200-000001000000}">
      <formula1>"0%,10%,15%,20%,25%,30%"</formula1>
    </dataValidation>
    <dataValidation type="list" allowBlank="1" showInputMessage="1" showErrorMessage="1" sqref="F15" xr:uid="{00000000-0002-0000-0200-000002000000}">
      <formula1>$AQ$18:$AQ$22</formula1>
    </dataValidation>
  </dataValidation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VÝSTUP pre klienta</vt:lpstr>
      <vt:lpstr>  </vt:lpstr>
      <vt:lpstr>TU zadajte VSTUPNÉ ÚDAJE</vt:lpstr>
      <vt:lpstr>'TU zadajte VSTUPNÉ ÚDAJE'!Print_Area</vt:lpstr>
      <vt:lpstr>'VÝSTUP pre klienta'!Print_Area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MGL</dc:creator>
  <cp:lastModifiedBy>Hlbocká, Mária</cp:lastModifiedBy>
  <cp:lastPrinted>2025-10-20T15:13:35Z</cp:lastPrinted>
  <dcterms:created xsi:type="dcterms:W3CDTF">2017-10-21T21:20:32Z</dcterms:created>
  <dcterms:modified xsi:type="dcterms:W3CDTF">2025-10-31T09:23:29Z</dcterms:modified>
</cp:coreProperties>
</file>